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600" tabRatio="697" activeTab="0"/>
  </bookViews>
  <sheets>
    <sheet name="Gruppe A og F" sheetId="1" r:id="rId1"/>
    <sheet name="Gruppe C og H" sheetId="2" r:id="rId2"/>
    <sheet name="Gruppe B og E" sheetId="3" r:id="rId3"/>
    <sheet name="Gruppe D og G" sheetId="4" r:id="rId4"/>
    <sheet name="Finaler" sheetId="5" r:id="rId5"/>
  </sheets>
  <definedNames>
    <definedName name="Ener_A">'Gruppe A og F'!$I$4</definedName>
    <definedName name="Ener_B">'Gruppe B og E'!$I$4</definedName>
    <definedName name="Ener_C">'Gruppe C og H'!$I$4</definedName>
    <definedName name="Ener_D">'Gruppe D og G'!$I$4</definedName>
    <definedName name="Ener_E">'Gruppe B og E'!$I$12</definedName>
    <definedName name="Ener_F">'Gruppe A og F'!$I$12</definedName>
    <definedName name="Ener_G">'Gruppe D og G'!$I$12</definedName>
    <definedName name="Ener_H">'Gruppe C og H'!$I$12</definedName>
    <definedName name="Gr_A">'Gruppe A og F'!$I$8</definedName>
    <definedName name="Gr_B">'Gruppe B og E'!$I$8</definedName>
    <definedName name="Gr_C">'Gruppe C og H'!$I$8</definedName>
    <definedName name="Gr_D">'Gruppe D og G'!$I$8</definedName>
    <definedName name="Gr_E">'Gruppe B og E'!$I$16</definedName>
    <definedName name="Gr_F">'Gruppe A og F'!$I$16</definedName>
    <definedName name="Gr_G">'Gruppe D og G'!$I$16</definedName>
    <definedName name="Gr_H">'Gruppe C og H'!$I$16</definedName>
    <definedName name="Toer_A">'Gruppe A og F'!$I$5</definedName>
    <definedName name="Toer_B">'Gruppe B og E'!$I$5</definedName>
    <definedName name="Toer_C">'Gruppe C og H'!$I$5</definedName>
    <definedName name="Toer_D">'Gruppe D og G'!$I$5</definedName>
    <definedName name="Toer_E">'Gruppe B og E'!$I$13</definedName>
    <definedName name="Toer_F">'Gruppe A og F'!$I$13</definedName>
    <definedName name="Toer_G">'Gruppe D og G'!$I$13</definedName>
    <definedName name="Toer_H">'Gruppe C og H'!$I$13</definedName>
  </definedNames>
  <calcPr fullCalcOnLoad="1"/>
</workbook>
</file>

<file path=xl/sharedStrings.xml><?xml version="1.0" encoding="utf-8"?>
<sst xmlns="http://schemas.openxmlformats.org/spreadsheetml/2006/main" count="433" uniqueCount="150">
  <si>
    <t>Dato</t>
  </si>
  <si>
    <t>Gruppe A</t>
  </si>
  <si>
    <t>Resultat</t>
  </si>
  <si>
    <t>H</t>
  </si>
  <si>
    <t>U</t>
  </si>
  <si>
    <t>B</t>
  </si>
  <si>
    <t>Fredag 31/5</t>
  </si>
  <si>
    <t>Frankrike-Senegal</t>
  </si>
  <si>
    <t>-</t>
  </si>
  <si>
    <t>Lørdag 1/6</t>
  </si>
  <si>
    <t>Uruguay-Danmark</t>
  </si>
  <si>
    <t>Land</t>
  </si>
  <si>
    <t>K</t>
  </si>
  <si>
    <t>P</t>
  </si>
  <si>
    <t>V</t>
  </si>
  <si>
    <t>T</t>
  </si>
  <si>
    <t>+M</t>
  </si>
  <si>
    <t>–M</t>
  </si>
  <si>
    <t>DM</t>
  </si>
  <si>
    <r>
      <t>D</t>
    </r>
    <r>
      <rPr>
        <b/>
        <sz val="10"/>
        <rFont val="Arial"/>
        <family val="0"/>
      </rPr>
      <t>M</t>
    </r>
  </si>
  <si>
    <t>Pl.</t>
  </si>
  <si>
    <t>Torsdag 6/6</t>
  </si>
  <si>
    <t>Danmark-Senegal</t>
  </si>
  <si>
    <t>Frankrike</t>
  </si>
  <si>
    <t>Frankrike-Uruguay</t>
  </si>
  <si>
    <t>Uruguay</t>
  </si>
  <si>
    <t>Tirsdag 11/6</t>
  </si>
  <si>
    <t>Danmark-Frankrike</t>
  </si>
  <si>
    <t>Danmark</t>
  </si>
  <si>
    <t>Senegal-Uruguay</t>
  </si>
  <si>
    <t>Senegal</t>
  </si>
  <si>
    <t>Gruppe F</t>
  </si>
  <si>
    <t>Søndag 2/6</t>
  </si>
  <si>
    <t>Argentina-Nigeria</t>
  </si>
  <si>
    <t>England-Sverige</t>
  </si>
  <si>
    <t>Fredag 7/6</t>
  </si>
  <si>
    <t>Sverige-Nigeria</t>
  </si>
  <si>
    <t>Argentina</t>
  </si>
  <si>
    <t>Argentina-England</t>
  </si>
  <si>
    <t>England</t>
  </si>
  <si>
    <t>Onsdag 12/6</t>
  </si>
  <si>
    <t>Sverige-Argentina</t>
  </si>
  <si>
    <t>Sverige</t>
  </si>
  <si>
    <t>Nigeria-England</t>
  </si>
  <si>
    <t>Nigeria</t>
  </si>
  <si>
    <t>8-dels finale 2</t>
  </si>
  <si>
    <t>Lørdag 15/6</t>
  </si>
  <si>
    <t>Søndag 16/6</t>
  </si>
  <si>
    <t>Gruppe C</t>
  </si>
  <si>
    <t>Mandag 3/6</t>
  </si>
  <si>
    <t>Brasil-Tyrkia</t>
  </si>
  <si>
    <t>Tirsdag 4/6</t>
  </si>
  <si>
    <t>Kina-Costa Rica</t>
  </si>
  <si>
    <t>Lørdag 8/6</t>
  </si>
  <si>
    <t>Brasil-Kina</t>
  </si>
  <si>
    <t>Brasil</t>
  </si>
  <si>
    <t>Søndag 9/10</t>
  </si>
  <si>
    <t>Costa Rica-Tyrkia</t>
  </si>
  <si>
    <t>Kina</t>
  </si>
  <si>
    <t>Torsdag 13/6</t>
  </si>
  <si>
    <t>Costa Rica-Brasil</t>
  </si>
  <si>
    <t>Tyrkia</t>
  </si>
  <si>
    <t>Tyrkia-Kina</t>
  </si>
  <si>
    <t>Costa Rica</t>
  </si>
  <si>
    <t>Gruppe H</t>
  </si>
  <si>
    <t>Japan-Belgia</t>
  </si>
  <si>
    <t>Onsdag 5/6</t>
  </si>
  <si>
    <t>Russland-Tunisia</t>
  </si>
  <si>
    <t>Søndag 9/6</t>
  </si>
  <si>
    <t>Japan-Russland</t>
  </si>
  <si>
    <t>Japan</t>
  </si>
  <si>
    <t>Mandag 10/6</t>
  </si>
  <si>
    <t>Tunisia-Belgia</t>
  </si>
  <si>
    <t>Russland</t>
  </si>
  <si>
    <t>Fredag 14/6</t>
  </si>
  <si>
    <t>Tunisia-Japan</t>
  </si>
  <si>
    <t>Belgia</t>
  </si>
  <si>
    <t>Belgia-Russland</t>
  </si>
  <si>
    <t>Tunisia</t>
  </si>
  <si>
    <t>8-dels finale</t>
  </si>
  <si>
    <t>Mandag 17/6</t>
  </si>
  <si>
    <t>Tirsdag 18/6</t>
  </si>
  <si>
    <t>Gruppe B</t>
  </si>
  <si>
    <t>Paraguay-Sør Afrika</t>
  </si>
  <si>
    <t>Spania-Slovenia</t>
  </si>
  <si>
    <t>Spania-Paraguay</t>
  </si>
  <si>
    <t>Paraguay</t>
  </si>
  <si>
    <t>Sør Afrika-Slovenia</t>
  </si>
  <si>
    <t>Spania</t>
  </si>
  <si>
    <t>Sør Afrika-Spania</t>
  </si>
  <si>
    <t>Sør Afrika</t>
  </si>
  <si>
    <t>Slovenia-Paraguay</t>
  </si>
  <si>
    <t>Slovenia</t>
  </si>
  <si>
    <t>Gruppe E</t>
  </si>
  <si>
    <t>Irland-Kamerun</t>
  </si>
  <si>
    <t>Tyskland-Saudi Arabia</t>
  </si>
  <si>
    <t>Tyskland-Irland</t>
  </si>
  <si>
    <t>Irland</t>
  </si>
  <si>
    <t>Kamerun-Saudi Arabia</t>
  </si>
  <si>
    <t>Tyskland</t>
  </si>
  <si>
    <t>Kamerun-Tyskland</t>
  </si>
  <si>
    <t>Kamerun</t>
  </si>
  <si>
    <t>Saudi Arabia-Irland</t>
  </si>
  <si>
    <t>Saudi-Arabia</t>
  </si>
  <si>
    <t>Gruppe D</t>
  </si>
  <si>
    <t>Sør Korea-Polen</t>
  </si>
  <si>
    <t>USA-Portugal</t>
  </si>
  <si>
    <t>Sør Korea-USA</t>
  </si>
  <si>
    <t>Sør Korea</t>
  </si>
  <si>
    <t>Portugal-Polen</t>
  </si>
  <si>
    <t>USA</t>
  </si>
  <si>
    <t>Portugal-Sør Korea</t>
  </si>
  <si>
    <t>Polen</t>
  </si>
  <si>
    <t>Polen-USA</t>
  </si>
  <si>
    <t>Portugal</t>
  </si>
  <si>
    <t>Gruppe G</t>
  </si>
  <si>
    <t>Kroatia-Mexico</t>
  </si>
  <si>
    <t>Italia-Ecuador</t>
  </si>
  <si>
    <t>Italia-Kroatia</t>
  </si>
  <si>
    <t>Kroatia</t>
  </si>
  <si>
    <t>Mexico-Ecuador</t>
  </si>
  <si>
    <t>Italia</t>
  </si>
  <si>
    <t>Mexico-Italia</t>
  </si>
  <si>
    <t>Mexico</t>
  </si>
  <si>
    <t>Ecuador-Kroatia</t>
  </si>
  <si>
    <t>Ecuador</t>
  </si>
  <si>
    <t>Lørdag 15/6 kl 8.30</t>
  </si>
  <si>
    <t>Lørdag 15/6 kl 13.30</t>
  </si>
  <si>
    <t>Søndag 16/6 kl 8.30</t>
  </si>
  <si>
    <t>Søndag 16/6 kl 13.30</t>
  </si>
  <si>
    <t>Mandag 17/6 kl 8.30</t>
  </si>
  <si>
    <t>Mandag 17/6 kl 13.30</t>
  </si>
  <si>
    <t>Tirsdag 18/6 kl 8.30</t>
  </si>
  <si>
    <t>Tirsdag 18/6 kl 13.30</t>
  </si>
  <si>
    <t>Åttendedelsfinaler:</t>
  </si>
  <si>
    <t>Kvartfinale:</t>
  </si>
  <si>
    <t>Fredag 21/6 kl 8.30</t>
  </si>
  <si>
    <t>Fredag 21/6 kl 13.30</t>
  </si>
  <si>
    <t>Lørdag 22/6 kl 8.30</t>
  </si>
  <si>
    <t>Lørdag 22/6 kl 13.30</t>
  </si>
  <si>
    <t>Semifinale:</t>
  </si>
  <si>
    <t>Tirsdag 25/6 kl 13.30</t>
  </si>
  <si>
    <t>Onsdag 26/6 kl 13.30</t>
  </si>
  <si>
    <t>Bronsefinale:</t>
  </si>
  <si>
    <t>Lørdag 29/6 kl 13.00</t>
  </si>
  <si>
    <t>Finale, søndag 30/6 kl 13.00</t>
  </si>
  <si>
    <t>Gull:</t>
  </si>
  <si>
    <t>Sølv:</t>
  </si>
  <si>
    <t>Bronse:</t>
  </si>
  <si>
    <t>Resultat 'World Cup 2002':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</si>
</sst>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1" fillId="3" borderId="0" xfId="0" applyFont="1" applyFill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 quotePrefix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5.8515625" style="0" customWidth="1"/>
    <col min="2" max="2" width="13.140625" style="0" customWidth="1"/>
    <col min="3" max="3" width="16.8515625" style="0" customWidth="1"/>
    <col min="4" max="4" width="2.421875" style="7" customWidth="1"/>
    <col min="5" max="5" width="1.57421875" style="7" customWidth="1"/>
    <col min="6" max="6" width="2.421875" style="0" customWidth="1"/>
    <col min="7" max="7" width="1.421875" style="0" customWidth="1"/>
    <col min="8" max="8" width="6.00390625" style="0" customWidth="1"/>
    <col min="9" max="9" width="9.57421875" style="0" customWidth="1"/>
    <col min="10" max="10" width="4.28125" style="7" customWidth="1"/>
    <col min="11" max="11" width="4.14062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3.140625" style="0" customWidth="1"/>
    <col min="16" max="16" width="3.57421875" style="0" customWidth="1"/>
    <col min="17" max="17" width="4.28125" style="0" customWidth="1"/>
    <col min="18" max="18" width="34.7109375" style="7" customWidth="1"/>
    <col min="19" max="19" width="3.00390625" style="7" customWidth="1"/>
    <col min="20" max="20" width="2.28125" style="7" customWidth="1"/>
    <col min="21" max="21" width="2.7109375" style="0" customWidth="1"/>
    <col min="22" max="22" width="9.28125" style="0" customWidth="1"/>
    <col min="23" max="23" width="3.421875" style="0" customWidth="1"/>
    <col min="24" max="24" width="3.140625" style="0" customWidth="1"/>
    <col min="25" max="25" width="3.8515625" style="0" customWidth="1"/>
    <col min="26" max="27" width="4.00390625" style="0" customWidth="1"/>
    <col min="28" max="28" width="4.28125" style="0" customWidth="1"/>
    <col min="29" max="29" width="4.57421875" style="0" customWidth="1"/>
    <col min="30" max="30" width="3.28125" style="0" customWidth="1"/>
    <col min="31" max="31" width="7.00390625" style="0" customWidth="1"/>
    <col min="32" max="32" width="11.7109375" style="7" customWidth="1"/>
  </cols>
  <sheetData>
    <row r="1" spans="1:32" ht="33.75" customHeight="1">
      <c r="A1" s="1"/>
      <c r="B1" s="2" t="s">
        <v>0</v>
      </c>
      <c r="C1" s="2" t="s">
        <v>1</v>
      </c>
      <c r="D1" s="3" t="s">
        <v>2</v>
      </c>
      <c r="E1" s="4"/>
      <c r="F1" s="4"/>
      <c r="G1" s="4"/>
      <c r="H1" s="4"/>
      <c r="I1" s="5"/>
      <c r="J1" s="6"/>
      <c r="K1" s="1"/>
      <c r="L1" s="1"/>
      <c r="M1" s="1"/>
      <c r="N1" s="1"/>
      <c r="O1" s="1"/>
      <c r="P1" s="1"/>
      <c r="Q1" s="1"/>
      <c r="R1" s="6"/>
      <c r="S1" s="34" t="s">
        <v>3</v>
      </c>
      <c r="T1" s="34" t="s">
        <v>4</v>
      </c>
      <c r="U1" s="34" t="s">
        <v>5</v>
      </c>
      <c r="V1" s="35"/>
      <c r="W1" s="35"/>
      <c r="X1" s="35"/>
      <c r="Y1" s="35"/>
      <c r="Z1" s="35"/>
      <c r="AA1" s="35"/>
      <c r="AB1" s="35"/>
      <c r="AC1" s="35"/>
      <c r="AD1" s="35"/>
      <c r="AE1" s="35"/>
      <c r="AF1" s="13"/>
    </row>
    <row r="2" spans="1:32" ht="12.75">
      <c r="A2" s="1"/>
      <c r="B2" s="1" t="s">
        <v>6</v>
      </c>
      <c r="C2" s="1" t="s">
        <v>7</v>
      </c>
      <c r="D2" s="26">
        <v>0</v>
      </c>
      <c r="E2" s="8" t="s">
        <v>8</v>
      </c>
      <c r="F2" s="26">
        <v>1</v>
      </c>
      <c r="G2" s="6"/>
      <c r="H2" s="6"/>
      <c r="I2" s="1"/>
      <c r="J2" s="6"/>
      <c r="K2" s="1"/>
      <c r="L2" s="1"/>
      <c r="M2" s="1"/>
      <c r="N2" s="1"/>
      <c r="O2" s="1"/>
      <c r="P2" s="1"/>
      <c r="Q2" s="1"/>
      <c r="R2" s="6"/>
      <c r="S2" s="13">
        <f aca="true" t="shared" si="0" ref="S2:S7">IF(D2&gt;F2,1,0)</f>
        <v>0</v>
      </c>
      <c r="T2" s="13">
        <f aca="true" t="shared" si="1" ref="T2:T7">IF(AND(D2=F2,F2&lt;&gt;""),1,0)</f>
        <v>0</v>
      </c>
      <c r="U2" s="13">
        <f aca="true" t="shared" si="2" ref="U2:U7">IF(F2&gt;D2,1,0)</f>
        <v>1</v>
      </c>
      <c r="V2" s="35"/>
      <c r="W2" s="35"/>
      <c r="X2" s="35"/>
      <c r="Y2" s="35"/>
      <c r="Z2" s="35"/>
      <c r="AA2" s="35"/>
      <c r="AB2" s="35"/>
      <c r="AC2" s="35"/>
      <c r="AD2" s="35"/>
      <c r="AE2" s="35"/>
      <c r="AF2" s="13"/>
    </row>
    <row r="3" spans="1:32" ht="12.75">
      <c r="A3" s="1"/>
      <c r="B3" s="1" t="s">
        <v>9</v>
      </c>
      <c r="C3" s="1" t="s">
        <v>10</v>
      </c>
      <c r="D3" s="26">
        <v>1</v>
      </c>
      <c r="E3" s="8" t="s">
        <v>8</v>
      </c>
      <c r="F3" s="26">
        <v>2</v>
      </c>
      <c r="G3" s="6"/>
      <c r="H3" s="6"/>
      <c r="I3" s="2" t="s">
        <v>11</v>
      </c>
      <c r="J3" s="9" t="s">
        <v>12</v>
      </c>
      <c r="K3" s="9" t="s">
        <v>13</v>
      </c>
      <c r="L3" s="9" t="s">
        <v>14</v>
      </c>
      <c r="M3" s="9" t="s">
        <v>4</v>
      </c>
      <c r="N3" s="9" t="s">
        <v>15</v>
      </c>
      <c r="O3" s="9" t="s">
        <v>16</v>
      </c>
      <c r="P3" s="9" t="s">
        <v>17</v>
      </c>
      <c r="Q3" s="10" t="s">
        <v>18</v>
      </c>
      <c r="R3" s="6"/>
      <c r="S3" s="13">
        <f t="shared" si="0"/>
        <v>0</v>
      </c>
      <c r="T3" s="13">
        <f t="shared" si="1"/>
        <v>0</v>
      </c>
      <c r="U3" s="13">
        <f t="shared" si="2"/>
        <v>1</v>
      </c>
      <c r="V3" s="36" t="s">
        <v>11</v>
      </c>
      <c r="W3" s="34" t="s">
        <v>12</v>
      </c>
      <c r="X3" s="34" t="s">
        <v>13</v>
      </c>
      <c r="Y3" s="34" t="s">
        <v>14</v>
      </c>
      <c r="Z3" s="34" t="s">
        <v>4</v>
      </c>
      <c r="AA3" s="34" t="s">
        <v>15</v>
      </c>
      <c r="AB3" s="37" t="s">
        <v>16</v>
      </c>
      <c r="AC3" s="37" t="s">
        <v>17</v>
      </c>
      <c r="AD3" s="38" t="s">
        <v>19</v>
      </c>
      <c r="AE3" s="39" t="str">
        <f>"'P'"</f>
        <v>'P'</v>
      </c>
      <c r="AF3" s="39" t="s">
        <v>20</v>
      </c>
    </row>
    <row r="4" spans="1:32" ht="12.75">
      <c r="A4" s="1"/>
      <c r="B4" s="1" t="s">
        <v>21</v>
      </c>
      <c r="C4" s="1" t="s">
        <v>22</v>
      </c>
      <c r="D4" s="26">
        <v>1</v>
      </c>
      <c r="E4" s="8" t="s">
        <v>8</v>
      </c>
      <c r="F4" s="26">
        <v>1</v>
      </c>
      <c r="G4" s="6"/>
      <c r="H4" s="6"/>
      <c r="I4" s="11" t="str">
        <f>IF($AE4=$AF$4,V4,IF($AE5=$AF$4,V5,IF($AE6=$AF$4,V6,V7)))</f>
        <v>Danmark</v>
      </c>
      <c r="J4" s="12">
        <f aca="true" t="shared" si="3" ref="J4:Q4">IF($AE4=$AF$4,W4,IF($AE5=$AF$4,W5,IF($AE6=$AF$4,W6,W7)))</f>
        <v>3</v>
      </c>
      <c r="K4" s="12">
        <f t="shared" si="3"/>
        <v>7</v>
      </c>
      <c r="L4" s="12">
        <f t="shared" si="3"/>
        <v>2</v>
      </c>
      <c r="M4" s="12">
        <f t="shared" si="3"/>
        <v>1</v>
      </c>
      <c r="N4" s="12">
        <f t="shared" si="3"/>
        <v>0</v>
      </c>
      <c r="O4" s="12">
        <f t="shared" si="3"/>
        <v>5</v>
      </c>
      <c r="P4" s="12">
        <f t="shared" si="3"/>
        <v>2</v>
      </c>
      <c r="Q4" s="12">
        <f t="shared" si="3"/>
        <v>3</v>
      </c>
      <c r="R4" s="6"/>
      <c r="S4" s="13">
        <f t="shared" si="0"/>
        <v>0</v>
      </c>
      <c r="T4" s="13">
        <f t="shared" si="1"/>
        <v>1</v>
      </c>
      <c r="U4" s="13">
        <f t="shared" si="2"/>
        <v>0</v>
      </c>
      <c r="V4" s="35" t="s">
        <v>23</v>
      </c>
      <c r="W4" s="13">
        <f>Y4+Z4+AA4</f>
        <v>3</v>
      </c>
      <c r="X4" s="13">
        <f>Y4*3+Z4</f>
        <v>1</v>
      </c>
      <c r="Y4" s="13">
        <f>S2+S5+U6</f>
        <v>0</v>
      </c>
      <c r="Z4" s="13">
        <f>T2+T5+T6</f>
        <v>1</v>
      </c>
      <c r="AA4" s="13">
        <f>U2+U5+S6</f>
        <v>2</v>
      </c>
      <c r="AB4" s="14">
        <f>D2+D5+F6</f>
        <v>0</v>
      </c>
      <c r="AC4" s="14">
        <f>F2+F5+D6</f>
        <v>3</v>
      </c>
      <c r="AD4" s="14">
        <f>AB4-AC4</f>
        <v>-3</v>
      </c>
      <c r="AE4" s="35">
        <f>X4*100+(20+AD4)+AB4/100</f>
        <v>117</v>
      </c>
      <c r="AF4" s="40">
        <f>LARGE($AE$4:$AE$7,1)</f>
        <v>723.05</v>
      </c>
    </row>
    <row r="5" spans="1:32" ht="12.75">
      <c r="A5" s="1"/>
      <c r="B5" s="1" t="s">
        <v>21</v>
      </c>
      <c r="C5" s="1" t="s">
        <v>24</v>
      </c>
      <c r="D5" s="26">
        <v>0</v>
      </c>
      <c r="E5" s="8" t="s">
        <v>8</v>
      </c>
      <c r="F5" s="26">
        <v>0</v>
      </c>
      <c r="G5" s="6"/>
      <c r="H5" s="6"/>
      <c r="I5" s="11" t="str">
        <f>IF($AE4=$AF$5,V4,IF($AE5=$AF$5,V5,IF($AE6=$AF$5,V6,V7)))</f>
        <v>Senegal</v>
      </c>
      <c r="J5" s="12">
        <f aca="true" t="shared" si="4" ref="J5:Q5">IF($AE4=$AF$5,W4,IF($AE5=$AF$5,W5,IF($AE6=$AF$5,W6,W7)))</f>
        <v>3</v>
      </c>
      <c r="K5" s="12">
        <f t="shared" si="4"/>
        <v>5</v>
      </c>
      <c r="L5" s="12">
        <f t="shared" si="4"/>
        <v>1</v>
      </c>
      <c r="M5" s="12">
        <f t="shared" si="4"/>
        <v>2</v>
      </c>
      <c r="N5" s="12">
        <f t="shared" si="4"/>
        <v>0</v>
      </c>
      <c r="O5" s="12">
        <f t="shared" si="4"/>
        <v>5</v>
      </c>
      <c r="P5" s="12">
        <f t="shared" si="4"/>
        <v>4</v>
      </c>
      <c r="Q5" s="12">
        <f t="shared" si="4"/>
        <v>1</v>
      </c>
      <c r="R5" s="6"/>
      <c r="S5" s="13">
        <f t="shared" si="0"/>
        <v>0</v>
      </c>
      <c r="T5" s="13">
        <f t="shared" si="1"/>
        <v>1</v>
      </c>
      <c r="U5" s="13">
        <f t="shared" si="2"/>
        <v>0</v>
      </c>
      <c r="V5" s="35" t="s">
        <v>25</v>
      </c>
      <c r="W5" s="13">
        <f>Y5+Z5+AA5</f>
        <v>3</v>
      </c>
      <c r="X5" s="13">
        <f>Y5*3+Z5</f>
        <v>2</v>
      </c>
      <c r="Y5" s="13">
        <f>S3+U5+U7</f>
        <v>0</v>
      </c>
      <c r="Z5" s="13">
        <f>T3+T5+T7</f>
        <v>2</v>
      </c>
      <c r="AA5" s="13">
        <f>U3+U5+U7</f>
        <v>1</v>
      </c>
      <c r="AB5" s="14">
        <f>D3+F5+F7</f>
        <v>4</v>
      </c>
      <c r="AC5" s="14">
        <f>F3+D5+D7</f>
        <v>5</v>
      </c>
      <c r="AD5" s="14">
        <f>AB5-AC5</f>
        <v>-1</v>
      </c>
      <c r="AE5" s="35">
        <f>X5*100+(20+AD5)+AB5/100</f>
        <v>219.04</v>
      </c>
      <c r="AF5" s="40">
        <f>LARGE($AE$4:$AE$7,2)</f>
        <v>521.05</v>
      </c>
    </row>
    <row r="6" spans="1:32" ht="12.75">
      <c r="A6" s="1"/>
      <c r="B6" s="1" t="s">
        <v>26</v>
      </c>
      <c r="C6" s="1" t="s">
        <v>27</v>
      </c>
      <c r="D6" s="26">
        <v>2</v>
      </c>
      <c r="E6" s="8" t="s">
        <v>8</v>
      </c>
      <c r="F6" s="26">
        <v>0</v>
      </c>
      <c r="G6" s="6"/>
      <c r="H6" s="6"/>
      <c r="I6" s="28" t="str">
        <f>IF($AE4=$AF$6,V4,IF($AE5=$AF$6,V5,IF($AE6=$AF$6,V6,V7)))</f>
        <v>Uruguay</v>
      </c>
      <c r="J6" s="29">
        <f aca="true" t="shared" si="5" ref="J6:Q6">IF($AE4=$AF$6,W4,IF($AE5=$AF$6,W5,IF($AE6=$AF$6,W6,W7)))</f>
        <v>3</v>
      </c>
      <c r="K6" s="29">
        <f t="shared" si="5"/>
        <v>2</v>
      </c>
      <c r="L6" s="29">
        <f t="shared" si="5"/>
        <v>0</v>
      </c>
      <c r="M6" s="29">
        <f t="shared" si="5"/>
        <v>2</v>
      </c>
      <c r="N6" s="29">
        <f t="shared" si="5"/>
        <v>1</v>
      </c>
      <c r="O6" s="29">
        <f t="shared" si="5"/>
        <v>4</v>
      </c>
      <c r="P6" s="29">
        <f t="shared" si="5"/>
        <v>5</v>
      </c>
      <c r="Q6" s="29">
        <f t="shared" si="5"/>
        <v>-1</v>
      </c>
      <c r="R6" s="6"/>
      <c r="S6" s="13">
        <f t="shared" si="0"/>
        <v>1</v>
      </c>
      <c r="T6" s="13">
        <f t="shared" si="1"/>
        <v>0</v>
      </c>
      <c r="U6" s="13">
        <f t="shared" si="2"/>
        <v>0</v>
      </c>
      <c r="V6" s="35" t="s">
        <v>28</v>
      </c>
      <c r="W6" s="13">
        <f>Y6+Z6+AA6</f>
        <v>3</v>
      </c>
      <c r="X6" s="13">
        <f>Y6*3+Z6</f>
        <v>7</v>
      </c>
      <c r="Y6" s="13">
        <f>U3+S4+S6</f>
        <v>2</v>
      </c>
      <c r="Z6" s="13">
        <f>T3+T4+T6</f>
        <v>1</v>
      </c>
      <c r="AA6" s="13">
        <f>S3+U4+U6</f>
        <v>0</v>
      </c>
      <c r="AB6" s="14">
        <f>F3+D4+D6</f>
        <v>5</v>
      </c>
      <c r="AC6" s="14">
        <f>D3+F4+F6</f>
        <v>2</v>
      </c>
      <c r="AD6" s="14">
        <f>AB6-AC6</f>
        <v>3</v>
      </c>
      <c r="AE6" s="35">
        <f>X6*100+(20+AD6)+AB6/100</f>
        <v>723.05</v>
      </c>
      <c r="AF6" s="40">
        <f>LARGE($AE$4:$AE$7,3)</f>
        <v>219.04</v>
      </c>
    </row>
    <row r="7" spans="1:32" ht="12.75">
      <c r="A7" s="1"/>
      <c r="B7" s="1" t="s">
        <v>26</v>
      </c>
      <c r="C7" s="1" t="s">
        <v>29</v>
      </c>
      <c r="D7" s="26">
        <v>3</v>
      </c>
      <c r="E7" s="8" t="s">
        <v>8</v>
      </c>
      <c r="F7" s="26">
        <v>3</v>
      </c>
      <c r="G7" s="1"/>
      <c r="H7" s="6"/>
      <c r="I7" s="28" t="str">
        <f>IF($AE4=$AF$7,V4,IF($AE5=$AF$7,V5,IF($AE6=$AF$7,V6,V7)))</f>
        <v>Frankrike</v>
      </c>
      <c r="J7" s="29">
        <f aca="true" t="shared" si="6" ref="J7:Q7">IF($AE4=$AF$7,W4,IF($AE5=$AF$7,W5,IF($AE6=$AF$7,W6,W7)))</f>
        <v>3</v>
      </c>
      <c r="K7" s="29">
        <f t="shared" si="6"/>
        <v>1</v>
      </c>
      <c r="L7" s="29">
        <f t="shared" si="6"/>
        <v>0</v>
      </c>
      <c r="M7" s="29">
        <f t="shared" si="6"/>
        <v>1</v>
      </c>
      <c r="N7" s="29">
        <f t="shared" si="6"/>
        <v>2</v>
      </c>
      <c r="O7" s="29">
        <f t="shared" si="6"/>
        <v>0</v>
      </c>
      <c r="P7" s="29">
        <f t="shared" si="6"/>
        <v>3</v>
      </c>
      <c r="Q7" s="29">
        <f t="shared" si="6"/>
        <v>-3</v>
      </c>
      <c r="R7" s="6"/>
      <c r="S7" s="13">
        <f t="shared" si="0"/>
        <v>0</v>
      </c>
      <c r="T7" s="13">
        <f t="shared" si="1"/>
        <v>1</v>
      </c>
      <c r="U7" s="13">
        <f t="shared" si="2"/>
        <v>0</v>
      </c>
      <c r="V7" s="35" t="s">
        <v>30</v>
      </c>
      <c r="W7" s="13">
        <f>Y7+Z7+AA7</f>
        <v>3</v>
      </c>
      <c r="X7" s="13">
        <f>Y7*3+Z7</f>
        <v>5</v>
      </c>
      <c r="Y7" s="13">
        <f>U2+U4+S7</f>
        <v>1</v>
      </c>
      <c r="Z7" s="13">
        <f>T2+T4+T7</f>
        <v>2</v>
      </c>
      <c r="AA7" s="13">
        <f>S2+S4+U7</f>
        <v>0</v>
      </c>
      <c r="AB7" s="14">
        <f>F2+F4+D7</f>
        <v>5</v>
      </c>
      <c r="AC7" s="14">
        <f>D2+D4+F7</f>
        <v>4</v>
      </c>
      <c r="AD7" s="14">
        <f>AB7-AC7</f>
        <v>1</v>
      </c>
      <c r="AE7" s="35">
        <f>X7*100+(20+AD7)+AB7/100</f>
        <v>521.05</v>
      </c>
      <c r="AF7" s="40">
        <f>LARGE($AE$4:$AE$7,4)</f>
        <v>117</v>
      </c>
    </row>
    <row r="8" spans="1:32" ht="12.75">
      <c r="A8" s="1"/>
      <c r="B8" s="1"/>
      <c r="C8" s="1"/>
      <c r="D8" s="6"/>
      <c r="E8" s="6"/>
      <c r="F8" s="1"/>
      <c r="G8" s="1"/>
      <c r="H8" s="6"/>
      <c r="I8" s="2" t="str">
        <f>IF(SUM(J4:J7)=12,"Ferdig","Ikke ferdig")</f>
        <v>Ferdig</v>
      </c>
      <c r="J8" s="6"/>
      <c r="K8" s="1"/>
      <c r="L8" s="1"/>
      <c r="M8" s="1"/>
      <c r="N8" s="1"/>
      <c r="O8" s="1"/>
      <c r="P8" s="1"/>
      <c r="Q8" s="1"/>
      <c r="R8" s="6"/>
      <c r="S8" s="13"/>
      <c r="T8" s="13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13"/>
    </row>
    <row r="9" spans="1:32" ht="12.75">
      <c r="A9" s="1"/>
      <c r="B9" s="2" t="s">
        <v>0</v>
      </c>
      <c r="C9" s="2" t="s">
        <v>31</v>
      </c>
      <c r="D9" s="15" t="s">
        <v>2</v>
      </c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34" t="s">
        <v>3</v>
      </c>
      <c r="T9" s="34" t="s">
        <v>4</v>
      </c>
      <c r="U9" s="34" t="s">
        <v>5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13"/>
    </row>
    <row r="10" spans="1:32" ht="12.75">
      <c r="A10" s="1"/>
      <c r="B10" s="1" t="s">
        <v>32</v>
      </c>
      <c r="C10" s="1" t="s">
        <v>33</v>
      </c>
      <c r="D10" s="27">
        <v>1</v>
      </c>
      <c r="E10" s="6" t="s">
        <v>8</v>
      </c>
      <c r="F10" s="27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3">
        <f aca="true" t="shared" si="7" ref="S10:S15">IF(D10&gt;F10,1,0)</f>
        <v>1</v>
      </c>
      <c r="T10" s="13">
        <f aca="true" t="shared" si="8" ref="T10:T15">IF(AND(D10=F10,F10&lt;&gt;""),1,0)</f>
        <v>0</v>
      </c>
      <c r="U10" s="13">
        <f aca="true" t="shared" si="9" ref="U10:U15">IF(F10&gt;D10,1,0)</f>
        <v>0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13"/>
    </row>
    <row r="11" spans="1:32" ht="12.75">
      <c r="A11" s="1"/>
      <c r="B11" s="1" t="s">
        <v>32</v>
      </c>
      <c r="C11" s="1" t="s">
        <v>34</v>
      </c>
      <c r="D11" s="27">
        <v>1</v>
      </c>
      <c r="E11" s="6" t="s">
        <v>8</v>
      </c>
      <c r="F11" s="27">
        <v>1</v>
      </c>
      <c r="G11" s="1"/>
      <c r="H11" s="1"/>
      <c r="I11" s="2" t="s">
        <v>11</v>
      </c>
      <c r="J11" s="9" t="s">
        <v>12</v>
      </c>
      <c r="K11" s="9" t="s">
        <v>13</v>
      </c>
      <c r="L11" s="9" t="s">
        <v>14</v>
      </c>
      <c r="M11" s="9" t="s">
        <v>4</v>
      </c>
      <c r="N11" s="9" t="s">
        <v>15</v>
      </c>
      <c r="O11" s="9" t="s">
        <v>16</v>
      </c>
      <c r="P11" s="9" t="s">
        <v>17</v>
      </c>
      <c r="Q11" s="10" t="s">
        <v>18</v>
      </c>
      <c r="R11" s="6"/>
      <c r="S11" s="13">
        <f t="shared" si="7"/>
        <v>0</v>
      </c>
      <c r="T11" s="13">
        <f t="shared" si="8"/>
        <v>1</v>
      </c>
      <c r="U11" s="13">
        <f t="shared" si="9"/>
        <v>0</v>
      </c>
      <c r="V11" s="41" t="s">
        <v>11</v>
      </c>
      <c r="W11" s="39" t="s">
        <v>12</v>
      </c>
      <c r="X11" s="39" t="s">
        <v>13</v>
      </c>
      <c r="Y11" s="39" t="s">
        <v>14</v>
      </c>
      <c r="Z11" s="39" t="s">
        <v>4</v>
      </c>
      <c r="AA11" s="39" t="s">
        <v>15</v>
      </c>
      <c r="AB11" s="39" t="s">
        <v>16</v>
      </c>
      <c r="AC11" s="39" t="s">
        <v>17</v>
      </c>
      <c r="AD11" s="38" t="s">
        <v>18</v>
      </c>
      <c r="AE11" s="39" t="str">
        <f>"'P'"</f>
        <v>'P'</v>
      </c>
      <c r="AF11" s="39" t="s">
        <v>20</v>
      </c>
    </row>
    <row r="12" spans="1:32" ht="12.75">
      <c r="A12" s="1"/>
      <c r="B12" s="1" t="s">
        <v>35</v>
      </c>
      <c r="C12" s="1" t="s">
        <v>36</v>
      </c>
      <c r="D12" s="27">
        <v>2</v>
      </c>
      <c r="E12" s="6" t="s">
        <v>8</v>
      </c>
      <c r="F12" s="27">
        <v>1</v>
      </c>
      <c r="G12" s="1"/>
      <c r="H12" s="1"/>
      <c r="I12" s="11" t="str">
        <f>IF($AE12=$AF$12,V12,IF($AE13=$AF$12,V13,IF($AE14=$AF$12,V14,V15)))</f>
        <v>Sverige</v>
      </c>
      <c r="J12" s="12">
        <f aca="true" t="shared" si="10" ref="J12:Q12">IF($AE12=$AF$12,W12,IF($AE13=$AF$12,W13,IF($AE14=$AF$12,W14,W15)))</f>
        <v>3</v>
      </c>
      <c r="K12" s="12">
        <f t="shared" si="10"/>
        <v>5</v>
      </c>
      <c r="L12" s="12">
        <f t="shared" si="10"/>
        <v>1</v>
      </c>
      <c r="M12" s="12">
        <f t="shared" si="10"/>
        <v>2</v>
      </c>
      <c r="N12" s="12">
        <f t="shared" si="10"/>
        <v>0</v>
      </c>
      <c r="O12" s="12">
        <f t="shared" si="10"/>
        <v>4</v>
      </c>
      <c r="P12" s="12">
        <f t="shared" si="10"/>
        <v>3</v>
      </c>
      <c r="Q12" s="12">
        <f t="shared" si="10"/>
        <v>1</v>
      </c>
      <c r="R12" s="6"/>
      <c r="S12" s="13">
        <f t="shared" si="7"/>
        <v>1</v>
      </c>
      <c r="T12" s="13">
        <f t="shared" si="8"/>
        <v>0</v>
      </c>
      <c r="U12" s="13">
        <f t="shared" si="9"/>
        <v>0</v>
      </c>
      <c r="V12" s="42" t="s">
        <v>37</v>
      </c>
      <c r="W12" s="13">
        <f>Y12+Z12+AA12</f>
        <v>3</v>
      </c>
      <c r="X12" s="13">
        <f>Y12*3+Z12</f>
        <v>4</v>
      </c>
      <c r="Y12" s="13">
        <f>S10+S13+U14</f>
        <v>1</v>
      </c>
      <c r="Z12" s="13">
        <f>T10+T13+T14</f>
        <v>1</v>
      </c>
      <c r="AA12" s="13">
        <f>U10+U13+S14</f>
        <v>1</v>
      </c>
      <c r="AB12" s="14">
        <f>D10+D13+F14</f>
        <v>2</v>
      </c>
      <c r="AC12" s="14">
        <f>F10+F13+D14</f>
        <v>2</v>
      </c>
      <c r="AD12" s="14">
        <f>AB12-AC12</f>
        <v>0</v>
      </c>
      <c r="AE12" s="35">
        <f>X12*100+(20+AD12)+AB12/100</f>
        <v>420.02</v>
      </c>
      <c r="AF12" s="43">
        <f>LARGE($AE$12:$AE$15,1)</f>
        <v>521.04</v>
      </c>
    </row>
    <row r="13" spans="1:32" ht="12.75">
      <c r="A13" s="1"/>
      <c r="B13" s="1" t="s">
        <v>35</v>
      </c>
      <c r="C13" s="1" t="s">
        <v>38</v>
      </c>
      <c r="D13" s="27">
        <v>0</v>
      </c>
      <c r="E13" s="6" t="s">
        <v>8</v>
      </c>
      <c r="F13" s="27">
        <v>1</v>
      </c>
      <c r="G13" s="1"/>
      <c r="H13" s="1"/>
      <c r="I13" s="11" t="str">
        <f>IF($AE12=$AF$13,V12,IF($AE13=$AF$13,V13,IF($AE14=$AF$13,V14,V15)))</f>
        <v>England</v>
      </c>
      <c r="J13" s="12">
        <f aca="true" t="shared" si="11" ref="J13:Q13">IF($AE12=$AF$13,W12,IF($AE13=$AF$13,W13,IF($AE14=$AF$13,W14,W15)))</f>
        <v>3</v>
      </c>
      <c r="K13" s="12">
        <f t="shared" si="11"/>
        <v>5</v>
      </c>
      <c r="L13" s="12">
        <f t="shared" si="11"/>
        <v>1</v>
      </c>
      <c r="M13" s="12">
        <f t="shared" si="11"/>
        <v>2</v>
      </c>
      <c r="N13" s="12">
        <f t="shared" si="11"/>
        <v>0</v>
      </c>
      <c r="O13" s="12">
        <f t="shared" si="11"/>
        <v>2</v>
      </c>
      <c r="P13" s="12">
        <f t="shared" si="11"/>
        <v>1</v>
      </c>
      <c r="Q13" s="12">
        <f t="shared" si="11"/>
        <v>1</v>
      </c>
      <c r="R13" s="6"/>
      <c r="S13" s="13">
        <f t="shared" si="7"/>
        <v>0</v>
      </c>
      <c r="T13" s="13">
        <f t="shared" si="8"/>
        <v>0</v>
      </c>
      <c r="U13" s="13">
        <f t="shared" si="9"/>
        <v>1</v>
      </c>
      <c r="V13" s="42" t="s">
        <v>39</v>
      </c>
      <c r="W13" s="13">
        <f>Y13+Z13+AA13</f>
        <v>3</v>
      </c>
      <c r="X13" s="13">
        <f>Y13*3+Z13</f>
        <v>5</v>
      </c>
      <c r="Y13" s="13">
        <f>S11+U13+U15</f>
        <v>1</v>
      </c>
      <c r="Z13" s="13">
        <f>T11+T13+T15</f>
        <v>2</v>
      </c>
      <c r="AA13" s="13">
        <f>U11+S13+S15</f>
        <v>0</v>
      </c>
      <c r="AB13" s="14">
        <f>D11+F13+F15</f>
        <v>2</v>
      </c>
      <c r="AC13" s="14">
        <f>F11+D13+D15</f>
        <v>1</v>
      </c>
      <c r="AD13" s="14">
        <f>AB13-AC13</f>
        <v>1</v>
      </c>
      <c r="AE13" s="35">
        <f>X13*100+(20+AD13)+AB13/100</f>
        <v>521.02</v>
      </c>
      <c r="AF13" s="43">
        <f>LARGE($AE$12:$AE$15,2)</f>
        <v>521.02</v>
      </c>
    </row>
    <row r="14" spans="1:32" ht="12.75">
      <c r="A14" s="1"/>
      <c r="B14" s="1" t="s">
        <v>40</v>
      </c>
      <c r="C14" s="1" t="s">
        <v>41</v>
      </c>
      <c r="D14" s="27">
        <v>1</v>
      </c>
      <c r="E14" s="6" t="s">
        <v>8</v>
      </c>
      <c r="F14" s="27">
        <v>1</v>
      </c>
      <c r="G14" s="1"/>
      <c r="H14" s="1"/>
      <c r="I14" s="28" t="str">
        <f>IF($AE12=$AF$14,V12,IF($AE13=$AF$14,V13,IF($AE14=$AF$14,V14,V15)))</f>
        <v>Argentina</v>
      </c>
      <c r="J14" s="29">
        <f aca="true" t="shared" si="12" ref="J14:Q14">IF($AE12=$AF$14,W12,IF($AE13=$AF$14,W13,IF($AE14=$AF$14,W14,W15)))</f>
        <v>3</v>
      </c>
      <c r="K14" s="29">
        <f t="shared" si="12"/>
        <v>4</v>
      </c>
      <c r="L14" s="29">
        <f t="shared" si="12"/>
        <v>1</v>
      </c>
      <c r="M14" s="29">
        <f t="shared" si="12"/>
        <v>1</v>
      </c>
      <c r="N14" s="29">
        <f t="shared" si="12"/>
        <v>1</v>
      </c>
      <c r="O14" s="29">
        <f t="shared" si="12"/>
        <v>2</v>
      </c>
      <c r="P14" s="29">
        <f t="shared" si="12"/>
        <v>2</v>
      </c>
      <c r="Q14" s="29">
        <f t="shared" si="12"/>
        <v>0</v>
      </c>
      <c r="R14" s="6"/>
      <c r="S14" s="13">
        <f t="shared" si="7"/>
        <v>0</v>
      </c>
      <c r="T14" s="13">
        <f t="shared" si="8"/>
        <v>1</v>
      </c>
      <c r="U14" s="13">
        <f t="shared" si="9"/>
        <v>0</v>
      </c>
      <c r="V14" s="42" t="s">
        <v>42</v>
      </c>
      <c r="W14" s="13">
        <f>Y14+Z14+AA14</f>
        <v>3</v>
      </c>
      <c r="X14" s="13">
        <f>Y14*3+Z14</f>
        <v>5</v>
      </c>
      <c r="Y14" s="13">
        <f>U11+S12+S14</f>
        <v>1</v>
      </c>
      <c r="Z14" s="13">
        <f>T11+T12+T14</f>
        <v>2</v>
      </c>
      <c r="AA14" s="13">
        <f>S11+U12+U14</f>
        <v>0</v>
      </c>
      <c r="AB14" s="14">
        <f>F11+D12+D14</f>
        <v>4</v>
      </c>
      <c r="AC14" s="14">
        <f>D11+F12+F14</f>
        <v>3</v>
      </c>
      <c r="AD14" s="14">
        <f>AB14-AC14</f>
        <v>1</v>
      </c>
      <c r="AE14" s="35">
        <f>X14*100+(20+AD14)+AB14/100</f>
        <v>521.04</v>
      </c>
      <c r="AF14" s="43">
        <f>LARGE($AE$12:$AE$15,3)</f>
        <v>420.02</v>
      </c>
    </row>
    <row r="15" spans="1:32" ht="12.75">
      <c r="A15" s="1"/>
      <c r="B15" s="1" t="s">
        <v>40</v>
      </c>
      <c r="C15" s="1" t="s">
        <v>43</v>
      </c>
      <c r="D15" s="27">
        <v>0</v>
      </c>
      <c r="E15" s="6" t="s">
        <v>8</v>
      </c>
      <c r="F15" s="27">
        <v>0</v>
      </c>
      <c r="G15" s="1"/>
      <c r="H15" s="1"/>
      <c r="I15" s="28" t="str">
        <f>IF($AE12=$AF$15,V12,IF($AE13=$AF$15,V13,IF($AE14=$AF$15,V14,V15)))</f>
        <v>Nigeria</v>
      </c>
      <c r="J15" s="29">
        <f aca="true" t="shared" si="13" ref="J15:Q15">IF($AE12=$AF$15,W12,IF($AE13=$AF$15,W13,IF($AE14=$AF$15,W14,W15)))</f>
        <v>3</v>
      </c>
      <c r="K15" s="29">
        <f t="shared" si="13"/>
        <v>1</v>
      </c>
      <c r="L15" s="29">
        <f t="shared" si="13"/>
        <v>0</v>
      </c>
      <c r="M15" s="29">
        <f t="shared" si="13"/>
        <v>1</v>
      </c>
      <c r="N15" s="29">
        <f t="shared" si="13"/>
        <v>2</v>
      </c>
      <c r="O15" s="29">
        <f t="shared" si="13"/>
        <v>1</v>
      </c>
      <c r="P15" s="29">
        <f t="shared" si="13"/>
        <v>3</v>
      </c>
      <c r="Q15" s="29">
        <f t="shared" si="13"/>
        <v>-2</v>
      </c>
      <c r="R15" s="6"/>
      <c r="S15" s="13">
        <f t="shared" si="7"/>
        <v>0</v>
      </c>
      <c r="T15" s="13">
        <f t="shared" si="8"/>
        <v>1</v>
      </c>
      <c r="U15" s="13">
        <f t="shared" si="9"/>
        <v>0</v>
      </c>
      <c r="V15" s="42" t="s">
        <v>44</v>
      </c>
      <c r="W15" s="13">
        <f>Y15+Z15+AA15</f>
        <v>3</v>
      </c>
      <c r="X15" s="13">
        <f>Y15*3+Z15</f>
        <v>1</v>
      </c>
      <c r="Y15" s="13">
        <f>U10+U12+S15</f>
        <v>0</v>
      </c>
      <c r="Z15" s="13">
        <f>T10+T12+T15</f>
        <v>1</v>
      </c>
      <c r="AA15" s="13">
        <f>S10+S12+U15</f>
        <v>2</v>
      </c>
      <c r="AB15" s="14">
        <f>F10+F12+D15</f>
        <v>1</v>
      </c>
      <c r="AC15" s="14">
        <f>D10+D12+F15</f>
        <v>3</v>
      </c>
      <c r="AD15" s="14">
        <f>AB15-AC15</f>
        <v>-2</v>
      </c>
      <c r="AE15" s="35">
        <f>X15*100+(20+AD15)+AB15/100</f>
        <v>118.01</v>
      </c>
      <c r="AF15" s="43">
        <f>LARGE($AE$12:$AE$15,4)</f>
        <v>118.01</v>
      </c>
    </row>
    <row r="16" spans="1:32" ht="16.5" customHeight="1">
      <c r="A16" s="1"/>
      <c r="B16" s="1"/>
      <c r="C16" s="1"/>
      <c r="D16" s="6"/>
      <c r="E16" s="6"/>
      <c r="F16" s="6"/>
      <c r="G16" s="1"/>
      <c r="H16" s="1"/>
      <c r="I16" s="19" t="str">
        <f>IF(SUM(J12:J15)=12,"Ferdig","Ikke ferdig")</f>
        <v>Ferdig</v>
      </c>
      <c r="J16" s="1"/>
      <c r="K16" s="1"/>
      <c r="L16" s="1"/>
      <c r="M16" s="1"/>
      <c r="N16" s="1"/>
      <c r="O16" s="1"/>
      <c r="P16" s="1"/>
      <c r="Q16" s="1"/>
      <c r="R16" s="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13"/>
    </row>
    <row r="17" spans="1:20" ht="4.5" customHeight="1">
      <c r="A17" s="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"/>
      <c r="S17"/>
      <c r="T17"/>
    </row>
    <row r="18" spans="1:20" ht="5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/>
      <c r="T18"/>
    </row>
    <row r="19" spans="1:20" ht="12.75">
      <c r="A19" s="1"/>
      <c r="B19" s="2" t="s">
        <v>0</v>
      </c>
      <c r="C19" s="2" t="s">
        <v>45</v>
      </c>
      <c r="D19" s="6"/>
      <c r="E19" s="6"/>
      <c r="F19" s="6"/>
      <c r="G19" s="1"/>
      <c r="H19" s="1"/>
      <c r="I19" s="1"/>
      <c r="J19" s="6"/>
      <c r="K19" s="1"/>
      <c r="L19" s="1"/>
      <c r="M19" s="1"/>
      <c r="N19" s="1"/>
      <c r="O19" s="1"/>
      <c r="P19" s="1"/>
      <c r="Q19" s="1"/>
      <c r="R19" s="6"/>
      <c r="T19"/>
    </row>
    <row r="20" spans="1:20" ht="12.75">
      <c r="A20" s="1"/>
      <c r="B20" s="1" t="s">
        <v>46</v>
      </c>
      <c r="C20" s="1" t="str">
        <f>Ener_A&amp;"-"&amp;Toer_F</f>
        <v>Danmark-England</v>
      </c>
      <c r="D20" s="6"/>
      <c r="E20" s="6"/>
      <c r="F20" s="6"/>
      <c r="G20" s="1"/>
      <c r="H20" s="1"/>
      <c r="I20" s="1"/>
      <c r="J20" s="6"/>
      <c r="K20" s="1"/>
      <c r="L20" s="1"/>
      <c r="M20" s="1"/>
      <c r="N20" s="1"/>
      <c r="O20" s="1"/>
      <c r="P20" s="1"/>
      <c r="Q20" s="1"/>
      <c r="R20" s="6"/>
      <c r="T20"/>
    </row>
    <row r="21" spans="1:19" ht="12.75">
      <c r="A21" s="1"/>
      <c r="B21" s="1" t="s">
        <v>47</v>
      </c>
      <c r="C21" s="1" t="str">
        <f>Ener_F&amp;"-"&amp;Toer_A</f>
        <v>Sverige-Senegal</v>
      </c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/>
    </row>
    <row r="23" spans="1:18" ht="12.75">
      <c r="A23" s="1"/>
      <c r="B23" s="1"/>
      <c r="C23" s="1"/>
      <c r="D23" s="18"/>
      <c r="E23" s="18"/>
      <c r="F23" s="18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6"/>
    </row>
    <row r="24" spans="1:18" ht="12.75">
      <c r="A24" s="1"/>
      <c r="B24" s="1"/>
      <c r="C24" s="1"/>
      <c r="D24" s="6"/>
      <c r="E24" s="6"/>
      <c r="F24" s="1"/>
      <c r="G24" s="1"/>
      <c r="H24" s="1"/>
      <c r="I24" s="1"/>
      <c r="J24" s="6"/>
      <c r="K24" s="1"/>
      <c r="L24" s="1"/>
      <c r="M24" s="1"/>
      <c r="N24" s="1"/>
      <c r="O24" s="1"/>
      <c r="P24" s="1"/>
      <c r="Q24" s="1"/>
      <c r="R24" s="6"/>
    </row>
    <row r="25" spans="1:18" ht="12.75">
      <c r="A25" s="1"/>
      <c r="B25" s="1"/>
      <c r="C25" s="1"/>
      <c r="D25" s="6"/>
      <c r="E25" s="6"/>
      <c r="F25" s="1"/>
      <c r="G25" s="1"/>
      <c r="H25" s="1"/>
      <c r="I25" s="1"/>
      <c r="J25" s="6"/>
      <c r="K25" s="1"/>
      <c r="L25" s="1"/>
      <c r="M25" s="1"/>
      <c r="N25" s="1"/>
      <c r="O25" s="1"/>
      <c r="P25" s="1"/>
      <c r="Q25" s="1"/>
      <c r="R25" s="6"/>
    </row>
    <row r="26" spans="1:18" ht="12.75">
      <c r="A26" s="1"/>
      <c r="B26" s="1"/>
      <c r="C26" s="1"/>
      <c r="D26" s="6"/>
      <c r="E26" s="6"/>
      <c r="F26" s="1"/>
      <c r="G26" s="1"/>
      <c r="H26" s="1"/>
      <c r="I26" s="1"/>
      <c r="J26" s="6"/>
      <c r="K26" s="1"/>
      <c r="L26" s="1"/>
      <c r="M26" s="1"/>
      <c r="N26" s="1"/>
      <c r="O26" s="1"/>
      <c r="P26" s="1"/>
      <c r="Q26" s="1"/>
      <c r="R26" s="6"/>
    </row>
    <row r="27" spans="1:18" ht="12.75">
      <c r="A27" s="1"/>
      <c r="B27" s="1"/>
      <c r="C27" s="1"/>
      <c r="D27" s="6"/>
      <c r="E27" s="6"/>
      <c r="F27" s="1"/>
      <c r="G27" s="1"/>
      <c r="H27" s="1"/>
      <c r="I27" s="1"/>
      <c r="J27" s="6"/>
      <c r="K27" s="1"/>
      <c r="L27" s="1"/>
      <c r="M27" s="1"/>
      <c r="N27" s="1"/>
      <c r="O27" s="1"/>
      <c r="P27" s="1"/>
      <c r="Q27" s="1"/>
      <c r="R27" s="6"/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workbookViewId="0" topLeftCell="A1">
      <selection activeCell="B22" sqref="B22"/>
    </sheetView>
  </sheetViews>
  <sheetFormatPr defaultColWidth="11.421875" defaultRowHeight="12.75"/>
  <cols>
    <col min="1" max="1" width="5.8515625" style="0" customWidth="1"/>
    <col min="2" max="2" width="13.140625" style="0" customWidth="1"/>
    <col min="3" max="3" width="16.8515625" style="0" customWidth="1"/>
    <col min="4" max="4" width="2.421875" style="7" customWidth="1"/>
    <col min="5" max="5" width="1.57421875" style="7" customWidth="1"/>
    <col min="6" max="6" width="2.421875" style="0" customWidth="1"/>
    <col min="7" max="7" width="1.421875" style="0" customWidth="1"/>
    <col min="8" max="8" width="6.00390625" style="0" customWidth="1"/>
    <col min="9" max="9" width="9.57421875" style="0" customWidth="1"/>
    <col min="10" max="10" width="4.28125" style="7" customWidth="1"/>
    <col min="11" max="11" width="4.14062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3.140625" style="0" customWidth="1"/>
    <col min="16" max="16" width="3.57421875" style="0" customWidth="1"/>
    <col min="17" max="17" width="4.28125" style="0" customWidth="1"/>
    <col min="18" max="18" width="34.7109375" style="7" customWidth="1"/>
    <col min="19" max="19" width="3.00390625" style="7" customWidth="1"/>
    <col min="20" max="20" width="2.28125" style="7" customWidth="1"/>
    <col min="21" max="21" width="2.7109375" style="0" customWidth="1"/>
    <col min="22" max="22" width="9.28125" style="0" customWidth="1"/>
    <col min="23" max="23" width="3.421875" style="0" customWidth="1"/>
    <col min="24" max="24" width="3.140625" style="0" customWidth="1"/>
    <col min="25" max="25" width="3.8515625" style="0" customWidth="1"/>
    <col min="26" max="27" width="4.00390625" style="0" customWidth="1"/>
    <col min="28" max="28" width="4.28125" style="0" customWidth="1"/>
    <col min="29" max="29" width="4.57421875" style="0" customWidth="1"/>
    <col min="30" max="30" width="3.28125" style="0" customWidth="1"/>
    <col min="31" max="31" width="7.00390625" style="0" customWidth="1"/>
    <col min="32" max="32" width="9.57421875" style="7" customWidth="1"/>
  </cols>
  <sheetData>
    <row r="1" spans="1:32" ht="33.75" customHeight="1">
      <c r="A1" s="1"/>
      <c r="B1" s="2" t="s">
        <v>0</v>
      </c>
      <c r="C1" s="2" t="s">
        <v>48</v>
      </c>
      <c r="D1" s="3" t="s">
        <v>2</v>
      </c>
      <c r="E1" s="4"/>
      <c r="F1" s="4"/>
      <c r="G1" s="4"/>
      <c r="H1" s="4"/>
      <c r="I1" s="5"/>
      <c r="J1" s="6"/>
      <c r="K1" s="1"/>
      <c r="L1" s="1"/>
      <c r="M1" s="1"/>
      <c r="N1" s="1"/>
      <c r="O1" s="1"/>
      <c r="P1" s="1"/>
      <c r="Q1" s="1"/>
      <c r="R1" s="6"/>
      <c r="S1" s="44" t="s">
        <v>3</v>
      </c>
      <c r="T1" s="44" t="s">
        <v>4</v>
      </c>
      <c r="U1" s="44" t="s">
        <v>5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0"/>
    </row>
    <row r="2" spans="1:32" ht="12.75">
      <c r="A2" s="1"/>
      <c r="B2" s="1" t="s">
        <v>49</v>
      </c>
      <c r="C2" s="1" t="s">
        <v>50</v>
      </c>
      <c r="D2" s="26">
        <v>2</v>
      </c>
      <c r="E2" s="8" t="s">
        <v>8</v>
      </c>
      <c r="F2" s="26">
        <v>1</v>
      </c>
      <c r="G2" s="6"/>
      <c r="H2" s="6"/>
      <c r="I2" s="1"/>
      <c r="J2" s="6"/>
      <c r="K2" s="1"/>
      <c r="L2" s="1"/>
      <c r="M2" s="1"/>
      <c r="N2" s="1"/>
      <c r="O2" s="1"/>
      <c r="P2" s="1"/>
      <c r="Q2" s="1"/>
      <c r="R2" s="6"/>
      <c r="S2" s="30">
        <f aca="true" t="shared" si="0" ref="S2:S7">IF(D2&gt;F2,1,0)</f>
        <v>1</v>
      </c>
      <c r="T2" s="30">
        <f aca="true" t="shared" si="1" ref="T2:T7">IF(AND(D2=F2,F2&lt;&gt;""),1,0)</f>
        <v>0</v>
      </c>
      <c r="U2" s="30">
        <f aca="true" t="shared" si="2" ref="U2:U7">IF(F2&gt;D2,1,0)</f>
        <v>0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0"/>
    </row>
    <row r="3" spans="1:32" ht="12.75">
      <c r="A3" s="1"/>
      <c r="B3" s="1" t="s">
        <v>51</v>
      </c>
      <c r="C3" s="1" t="s">
        <v>52</v>
      </c>
      <c r="D3" s="26">
        <v>0</v>
      </c>
      <c r="E3" s="8" t="s">
        <v>8</v>
      </c>
      <c r="F3" s="26">
        <v>2</v>
      </c>
      <c r="G3" s="6"/>
      <c r="H3" s="6"/>
      <c r="I3" s="2" t="s">
        <v>11</v>
      </c>
      <c r="J3" s="9" t="s">
        <v>12</v>
      </c>
      <c r="K3" s="9" t="s">
        <v>13</v>
      </c>
      <c r="L3" s="9" t="s">
        <v>14</v>
      </c>
      <c r="M3" s="9" t="s">
        <v>4</v>
      </c>
      <c r="N3" s="9" t="s">
        <v>15</v>
      </c>
      <c r="O3" s="9" t="s">
        <v>16</v>
      </c>
      <c r="P3" s="9" t="s">
        <v>17</v>
      </c>
      <c r="Q3" s="10" t="s">
        <v>18</v>
      </c>
      <c r="R3" s="6"/>
      <c r="S3" s="30">
        <f t="shared" si="0"/>
        <v>0</v>
      </c>
      <c r="T3" s="30">
        <f t="shared" si="1"/>
        <v>0</v>
      </c>
      <c r="U3" s="30">
        <f t="shared" si="2"/>
        <v>1</v>
      </c>
      <c r="V3" s="45" t="s">
        <v>11</v>
      </c>
      <c r="W3" s="44" t="s">
        <v>12</v>
      </c>
      <c r="X3" s="44" t="s">
        <v>13</v>
      </c>
      <c r="Y3" s="44" t="s">
        <v>14</v>
      </c>
      <c r="Z3" s="44" t="s">
        <v>4</v>
      </c>
      <c r="AA3" s="44" t="s">
        <v>15</v>
      </c>
      <c r="AB3" s="46" t="s">
        <v>16</v>
      </c>
      <c r="AC3" s="46" t="s">
        <v>17</v>
      </c>
      <c r="AD3" s="47" t="s">
        <v>19</v>
      </c>
      <c r="AE3" s="48" t="str">
        <f>"'P'"</f>
        <v>'P'</v>
      </c>
      <c r="AF3" s="48" t="s">
        <v>20</v>
      </c>
    </row>
    <row r="4" spans="1:32" ht="12.75">
      <c r="A4" s="1"/>
      <c r="B4" s="1" t="s">
        <v>53</v>
      </c>
      <c r="C4" s="1" t="s">
        <v>54</v>
      </c>
      <c r="D4" s="26">
        <v>4</v>
      </c>
      <c r="E4" s="8" t="s">
        <v>8</v>
      </c>
      <c r="F4" s="26">
        <v>0</v>
      </c>
      <c r="G4" s="6"/>
      <c r="H4" s="6"/>
      <c r="I4" s="11" t="str">
        <f>IF($AE4=$AF$4,V4,IF($AE5=$AF$4,V5,IF($AE6=$AF$4,V6,V7)))</f>
        <v>Brasil</v>
      </c>
      <c r="J4" s="12">
        <f aca="true" t="shared" si="3" ref="J4:Q4">IF($AE4=$AF$4,W4,IF($AE5=$AF$4,W5,IF($AE6=$AF$4,W6,W7)))</f>
        <v>3</v>
      </c>
      <c r="K4" s="12">
        <f t="shared" si="3"/>
        <v>9</v>
      </c>
      <c r="L4" s="12">
        <f t="shared" si="3"/>
        <v>3</v>
      </c>
      <c r="M4" s="12">
        <f t="shared" si="3"/>
        <v>0</v>
      </c>
      <c r="N4" s="12">
        <f t="shared" si="3"/>
        <v>0</v>
      </c>
      <c r="O4" s="12">
        <f t="shared" si="3"/>
        <v>11</v>
      </c>
      <c r="P4" s="12">
        <f t="shared" si="3"/>
        <v>3</v>
      </c>
      <c r="Q4" s="12">
        <f t="shared" si="3"/>
        <v>8</v>
      </c>
      <c r="R4" s="6"/>
      <c r="S4" s="30">
        <f t="shared" si="0"/>
        <v>1</v>
      </c>
      <c r="T4" s="30">
        <f t="shared" si="1"/>
        <v>0</v>
      </c>
      <c r="U4" s="30">
        <f t="shared" si="2"/>
        <v>0</v>
      </c>
      <c r="V4" s="31" t="s">
        <v>55</v>
      </c>
      <c r="W4" s="30">
        <f>Y4+Z4+AA4</f>
        <v>3</v>
      </c>
      <c r="X4" s="30">
        <f>Y4*3+Z4</f>
        <v>9</v>
      </c>
      <c r="Y4" s="30">
        <f>S2+S4+U6</f>
        <v>3</v>
      </c>
      <c r="Z4" s="30">
        <f>T2+T4+T6</f>
        <v>0</v>
      </c>
      <c r="AA4" s="30">
        <f>U2+U4+S6</f>
        <v>0</v>
      </c>
      <c r="AB4" s="32">
        <f>D2+D4+F6</f>
        <v>11</v>
      </c>
      <c r="AC4" s="32">
        <f>F2+F4+D6</f>
        <v>3</v>
      </c>
      <c r="AD4" s="32">
        <f>AB4-AC4</f>
        <v>8</v>
      </c>
      <c r="AE4" s="31">
        <f>X4*100+(20+AD4)+AB4/100</f>
        <v>928.11</v>
      </c>
      <c r="AF4" s="49">
        <f>LARGE($AE$4:$AE$7,1)</f>
        <v>928.11</v>
      </c>
    </row>
    <row r="5" spans="1:32" ht="12.75">
      <c r="A5" s="1"/>
      <c r="B5" s="1" t="s">
        <v>56</v>
      </c>
      <c r="C5" s="1" t="s">
        <v>57</v>
      </c>
      <c r="D5" s="26">
        <v>1</v>
      </c>
      <c r="E5" s="8" t="s">
        <v>8</v>
      </c>
      <c r="F5" s="26">
        <v>1</v>
      </c>
      <c r="G5" s="6"/>
      <c r="H5" s="6"/>
      <c r="I5" s="11" t="str">
        <f>IF($AE4=$AF$5,V4,IF($AE5=$AF$5,V5,IF($AE6=$AF$5,V6,V7)))</f>
        <v>Tyrkia</v>
      </c>
      <c r="J5" s="12">
        <f aca="true" t="shared" si="4" ref="J5:Q5">IF($AE4=$AF$5,W4,IF($AE5=$AF$5,W5,IF($AE6=$AF$5,W6,W7)))</f>
        <v>3</v>
      </c>
      <c r="K5" s="12">
        <f t="shared" si="4"/>
        <v>4</v>
      </c>
      <c r="L5" s="12">
        <f t="shared" si="4"/>
        <v>1</v>
      </c>
      <c r="M5" s="12">
        <f t="shared" si="4"/>
        <v>1</v>
      </c>
      <c r="N5" s="12">
        <f t="shared" si="4"/>
        <v>1</v>
      </c>
      <c r="O5" s="12">
        <f t="shared" si="4"/>
        <v>5</v>
      </c>
      <c r="P5" s="12">
        <f t="shared" si="4"/>
        <v>3</v>
      </c>
      <c r="Q5" s="12">
        <f t="shared" si="4"/>
        <v>2</v>
      </c>
      <c r="R5" s="6"/>
      <c r="S5" s="30">
        <f t="shared" si="0"/>
        <v>0</v>
      </c>
      <c r="T5" s="30">
        <f t="shared" si="1"/>
        <v>1</v>
      </c>
      <c r="U5" s="30">
        <f t="shared" si="2"/>
        <v>0</v>
      </c>
      <c r="V5" s="31" t="s">
        <v>58</v>
      </c>
      <c r="W5" s="30">
        <f>Y5+Z5+AA5</f>
        <v>3</v>
      </c>
      <c r="X5" s="30">
        <f>Y5*3+Z5</f>
        <v>0</v>
      </c>
      <c r="Y5" s="30">
        <f>S3+U4+U7</f>
        <v>0</v>
      </c>
      <c r="Z5" s="30">
        <f>T3+T4+T7</f>
        <v>0</v>
      </c>
      <c r="AA5" s="30">
        <f>U3+S4+S7</f>
        <v>3</v>
      </c>
      <c r="AB5" s="32">
        <f>D3+F4+F7</f>
        <v>0</v>
      </c>
      <c r="AC5" s="32">
        <f>F3+D4+D7</f>
        <v>9</v>
      </c>
      <c r="AD5" s="32">
        <f>AB5-AC5</f>
        <v>-9</v>
      </c>
      <c r="AE5" s="31">
        <f>X5*100+(20+AD5)+AB5/100</f>
        <v>11</v>
      </c>
      <c r="AF5" s="49">
        <f>LARGE($AE$4:$AE$7,2)</f>
        <v>422.05</v>
      </c>
    </row>
    <row r="6" spans="1:32" ht="12.75">
      <c r="A6" s="1"/>
      <c r="B6" s="1" t="s">
        <v>59</v>
      </c>
      <c r="C6" s="1" t="s">
        <v>60</v>
      </c>
      <c r="D6" s="26">
        <v>2</v>
      </c>
      <c r="E6" s="8" t="s">
        <v>8</v>
      </c>
      <c r="F6" s="26">
        <v>5</v>
      </c>
      <c r="G6" s="6"/>
      <c r="H6" s="6"/>
      <c r="I6" s="28" t="str">
        <f>IF($AE4=$AF$6,V4,IF($AE5=$AF$6,V5,IF($AE6=$AF$6,V6,V7)))</f>
        <v>Costa Rica</v>
      </c>
      <c r="J6" s="29">
        <f aca="true" t="shared" si="5" ref="J6:Q6">IF($AE4=$AF$6,W4,IF($AE5=$AF$6,W5,IF($AE6=$AF$6,W6,W7)))</f>
        <v>3</v>
      </c>
      <c r="K6" s="29">
        <f t="shared" si="5"/>
        <v>4</v>
      </c>
      <c r="L6" s="29">
        <f t="shared" si="5"/>
        <v>1</v>
      </c>
      <c r="M6" s="29">
        <f t="shared" si="5"/>
        <v>1</v>
      </c>
      <c r="N6" s="29">
        <f t="shared" si="5"/>
        <v>1</v>
      </c>
      <c r="O6" s="29">
        <f t="shared" si="5"/>
        <v>5</v>
      </c>
      <c r="P6" s="29">
        <f t="shared" si="5"/>
        <v>6</v>
      </c>
      <c r="Q6" s="29">
        <f t="shared" si="5"/>
        <v>-1</v>
      </c>
      <c r="R6" s="6"/>
      <c r="S6" s="30">
        <f t="shared" si="0"/>
        <v>0</v>
      </c>
      <c r="T6" s="30">
        <f t="shared" si="1"/>
        <v>0</v>
      </c>
      <c r="U6" s="30">
        <f t="shared" si="2"/>
        <v>1</v>
      </c>
      <c r="V6" s="31" t="s">
        <v>61</v>
      </c>
      <c r="W6" s="30">
        <f>Y6+Z6+AA6</f>
        <v>3</v>
      </c>
      <c r="X6" s="30">
        <f>Y6*3+Z6</f>
        <v>4</v>
      </c>
      <c r="Y6" s="30">
        <f>U2+U5+S7</f>
        <v>1</v>
      </c>
      <c r="Z6" s="30">
        <f>T2+T5+T7</f>
        <v>1</v>
      </c>
      <c r="AA6" s="30">
        <f>S2+S5+U7</f>
        <v>1</v>
      </c>
      <c r="AB6" s="32">
        <f>F2+F5+D7</f>
        <v>5</v>
      </c>
      <c r="AC6" s="32">
        <f>D2+D5+F7</f>
        <v>3</v>
      </c>
      <c r="AD6" s="32">
        <f>AB6-AC6</f>
        <v>2</v>
      </c>
      <c r="AE6" s="31">
        <f>X6*100+(20+AD6)+AB6/100</f>
        <v>422.05</v>
      </c>
      <c r="AF6" s="49">
        <f>LARGE($AE$4:$AE$7,3)</f>
        <v>419.05</v>
      </c>
    </row>
    <row r="7" spans="1:32" ht="12.75">
      <c r="A7" s="1"/>
      <c r="B7" s="1" t="s">
        <v>59</v>
      </c>
      <c r="C7" s="1" t="s">
        <v>62</v>
      </c>
      <c r="D7" s="26">
        <v>3</v>
      </c>
      <c r="E7" s="8" t="s">
        <v>8</v>
      </c>
      <c r="F7" s="26">
        <v>0</v>
      </c>
      <c r="G7" s="1"/>
      <c r="H7" s="6"/>
      <c r="I7" s="28" t="str">
        <f>IF($AE4=$AF$7,V4,IF($AE5=$AF$7,V5,IF($AE6=$AF$7,V6,V7)))</f>
        <v>Kina</v>
      </c>
      <c r="J7" s="29">
        <f aca="true" t="shared" si="6" ref="J7:Q7">IF($AE4=$AF$7,W4,IF($AE5=$AF$7,W5,IF($AE6=$AF$7,W6,W7)))</f>
        <v>3</v>
      </c>
      <c r="K7" s="29">
        <f t="shared" si="6"/>
        <v>0</v>
      </c>
      <c r="L7" s="29">
        <f t="shared" si="6"/>
        <v>0</v>
      </c>
      <c r="M7" s="29">
        <f t="shared" si="6"/>
        <v>0</v>
      </c>
      <c r="N7" s="29">
        <f t="shared" si="6"/>
        <v>3</v>
      </c>
      <c r="O7" s="29">
        <f t="shared" si="6"/>
        <v>0</v>
      </c>
      <c r="P7" s="29">
        <f t="shared" si="6"/>
        <v>9</v>
      </c>
      <c r="Q7" s="29">
        <f t="shared" si="6"/>
        <v>-9</v>
      </c>
      <c r="R7" s="6"/>
      <c r="S7" s="30">
        <f t="shared" si="0"/>
        <v>1</v>
      </c>
      <c r="T7" s="30">
        <f t="shared" si="1"/>
        <v>0</v>
      </c>
      <c r="U7" s="30">
        <f t="shared" si="2"/>
        <v>0</v>
      </c>
      <c r="V7" s="31" t="s">
        <v>63</v>
      </c>
      <c r="W7" s="30">
        <f>Y7+Z7+AA7</f>
        <v>3</v>
      </c>
      <c r="X7" s="30">
        <f>Y7*3+Z7</f>
        <v>4</v>
      </c>
      <c r="Y7" s="30">
        <f>U3+S5+S6</f>
        <v>1</v>
      </c>
      <c r="Z7" s="30">
        <f>T3+T5+T6</f>
        <v>1</v>
      </c>
      <c r="AA7" s="30">
        <f>S3+U5+U6</f>
        <v>1</v>
      </c>
      <c r="AB7" s="32">
        <f>F3+D5+D6</f>
        <v>5</v>
      </c>
      <c r="AC7" s="32">
        <f>D3+F5+F6</f>
        <v>6</v>
      </c>
      <c r="AD7" s="32">
        <f>AB7-AC7</f>
        <v>-1</v>
      </c>
      <c r="AE7" s="31">
        <f>X7*100+(20+AD7)+AB7/100</f>
        <v>419.05</v>
      </c>
      <c r="AF7" s="49">
        <f>LARGE($AE$4:$AE$7,4)</f>
        <v>11</v>
      </c>
    </row>
    <row r="8" spans="1:32" ht="12.75">
      <c r="A8" s="1"/>
      <c r="B8" s="1"/>
      <c r="C8" s="1"/>
      <c r="D8" s="6"/>
      <c r="E8" s="6"/>
      <c r="F8" s="1"/>
      <c r="G8" s="1"/>
      <c r="H8" s="6"/>
      <c r="I8" s="2" t="str">
        <f>IF(SUM(J4:J7)=12,"Ferdig","Ikke ferdig")</f>
        <v>Ferdig</v>
      </c>
      <c r="J8" s="6"/>
      <c r="K8" s="1"/>
      <c r="L8" s="1"/>
      <c r="M8" s="1"/>
      <c r="N8" s="1"/>
      <c r="O8" s="1"/>
      <c r="P8" s="1"/>
      <c r="Q8" s="1"/>
      <c r="R8" s="6"/>
      <c r="S8" s="30"/>
      <c r="T8" s="30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0"/>
    </row>
    <row r="9" spans="1:32" ht="12.75">
      <c r="A9" s="1"/>
      <c r="B9" s="2" t="s">
        <v>0</v>
      </c>
      <c r="C9" s="2" t="s">
        <v>64</v>
      </c>
      <c r="D9" s="15" t="s">
        <v>2</v>
      </c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44" t="s">
        <v>3</v>
      </c>
      <c r="T9" s="44" t="s">
        <v>4</v>
      </c>
      <c r="U9" s="44" t="s">
        <v>5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0"/>
    </row>
    <row r="10" spans="1:32" ht="12.75">
      <c r="A10" s="1"/>
      <c r="B10" s="1" t="s">
        <v>51</v>
      </c>
      <c r="C10" s="1" t="s">
        <v>65</v>
      </c>
      <c r="D10" s="27">
        <v>2</v>
      </c>
      <c r="E10" s="6" t="s">
        <v>8</v>
      </c>
      <c r="F10" s="27">
        <v>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30">
        <f aca="true" t="shared" si="7" ref="S10:S15">IF(D10&gt;F10,1,0)</f>
        <v>0</v>
      </c>
      <c r="T10" s="30">
        <f aca="true" t="shared" si="8" ref="T10:T15">IF(AND(D10=F10,F10&lt;&gt;""),1,0)</f>
        <v>1</v>
      </c>
      <c r="U10" s="30">
        <f aca="true" t="shared" si="9" ref="U10:U15">IF(F10&gt;D10,1,0)</f>
        <v>0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0"/>
    </row>
    <row r="11" spans="1:32" ht="12.75">
      <c r="A11" s="1"/>
      <c r="B11" s="1" t="s">
        <v>66</v>
      </c>
      <c r="C11" s="1" t="s">
        <v>67</v>
      </c>
      <c r="D11" s="27">
        <v>2</v>
      </c>
      <c r="E11" s="6" t="s">
        <v>8</v>
      </c>
      <c r="F11" s="27">
        <v>0</v>
      </c>
      <c r="G11" s="1"/>
      <c r="H11" s="1"/>
      <c r="I11" s="2" t="s">
        <v>11</v>
      </c>
      <c r="J11" s="9" t="s">
        <v>12</v>
      </c>
      <c r="K11" s="9" t="s">
        <v>13</v>
      </c>
      <c r="L11" s="9" t="s">
        <v>14</v>
      </c>
      <c r="M11" s="9" t="s">
        <v>4</v>
      </c>
      <c r="N11" s="9" t="s">
        <v>15</v>
      </c>
      <c r="O11" s="9" t="s">
        <v>16</v>
      </c>
      <c r="P11" s="9" t="s">
        <v>17</v>
      </c>
      <c r="Q11" s="10" t="s">
        <v>18</v>
      </c>
      <c r="R11" s="6"/>
      <c r="S11" s="30">
        <f t="shared" si="7"/>
        <v>1</v>
      </c>
      <c r="T11" s="30">
        <f t="shared" si="8"/>
        <v>0</v>
      </c>
      <c r="U11" s="30">
        <f t="shared" si="9"/>
        <v>0</v>
      </c>
      <c r="V11" s="50" t="s">
        <v>11</v>
      </c>
      <c r="W11" s="48" t="s">
        <v>12</v>
      </c>
      <c r="X11" s="48" t="s">
        <v>13</v>
      </c>
      <c r="Y11" s="48" t="s">
        <v>14</v>
      </c>
      <c r="Z11" s="48" t="s">
        <v>4</v>
      </c>
      <c r="AA11" s="48" t="s">
        <v>15</v>
      </c>
      <c r="AB11" s="48" t="s">
        <v>16</v>
      </c>
      <c r="AC11" s="48" t="s">
        <v>17</v>
      </c>
      <c r="AD11" s="47" t="s">
        <v>18</v>
      </c>
      <c r="AE11" s="48" t="str">
        <f>"'P'"</f>
        <v>'P'</v>
      </c>
      <c r="AF11" s="48" t="s">
        <v>20</v>
      </c>
    </row>
    <row r="12" spans="1:32" ht="12.75">
      <c r="A12" s="1"/>
      <c r="B12" s="1" t="s">
        <v>68</v>
      </c>
      <c r="C12" s="1" t="s">
        <v>69</v>
      </c>
      <c r="D12" s="27">
        <v>1</v>
      </c>
      <c r="E12" s="6" t="s">
        <v>8</v>
      </c>
      <c r="F12" s="27">
        <v>0</v>
      </c>
      <c r="G12" s="1"/>
      <c r="H12" s="1"/>
      <c r="I12" s="11" t="str">
        <f>IF($AE12=$AF$12,V12,IF($AE13=$AF$12,V13,IF($AE14=$AF$12,V14,V15)))</f>
        <v>Japan</v>
      </c>
      <c r="J12" s="12">
        <f aca="true" t="shared" si="10" ref="J12:Q12">IF($AE12=$AF$12,W12,IF($AE13=$AF$12,W13,IF($AE14=$AF$12,W14,W15)))</f>
        <v>2</v>
      </c>
      <c r="K12" s="12">
        <f t="shared" si="10"/>
        <v>4</v>
      </c>
      <c r="L12" s="12">
        <f t="shared" si="10"/>
        <v>1</v>
      </c>
      <c r="M12" s="12">
        <f t="shared" si="10"/>
        <v>1</v>
      </c>
      <c r="N12" s="12">
        <f t="shared" si="10"/>
        <v>0</v>
      </c>
      <c r="O12" s="12">
        <f t="shared" si="10"/>
        <v>3</v>
      </c>
      <c r="P12" s="12">
        <f t="shared" si="10"/>
        <v>2</v>
      </c>
      <c r="Q12" s="12">
        <f t="shared" si="10"/>
        <v>1</v>
      </c>
      <c r="R12" s="6"/>
      <c r="S12" s="30">
        <f t="shared" si="7"/>
        <v>1</v>
      </c>
      <c r="T12" s="30">
        <f t="shared" si="8"/>
        <v>0</v>
      </c>
      <c r="U12" s="30">
        <f t="shared" si="9"/>
        <v>0</v>
      </c>
      <c r="V12" s="51" t="s">
        <v>70</v>
      </c>
      <c r="W12" s="30">
        <f>Y12+Z12+AA12</f>
        <v>2</v>
      </c>
      <c r="X12" s="30">
        <f>Y12*3+Z12</f>
        <v>4</v>
      </c>
      <c r="Y12" s="30">
        <f>S10+S12+U14</f>
        <v>1</v>
      </c>
      <c r="Z12" s="30">
        <f>T10+T12+T14</f>
        <v>1</v>
      </c>
      <c r="AA12" s="30">
        <f>U10+U12+S14</f>
        <v>0</v>
      </c>
      <c r="AB12" s="32">
        <f>D10+D12+F14</f>
        <v>3</v>
      </c>
      <c r="AC12" s="32">
        <f>F10+F12+D15</f>
        <v>2</v>
      </c>
      <c r="AD12" s="32">
        <f>AB12-AC12</f>
        <v>1</v>
      </c>
      <c r="AE12" s="31">
        <f>X12*100+(20+AD12)+AB12/100</f>
        <v>421.03</v>
      </c>
      <c r="AF12" s="49">
        <f>LARGE($AE$12:$AE$15,1)</f>
        <v>421.03</v>
      </c>
    </row>
    <row r="13" spans="1:32" ht="12.75">
      <c r="A13" s="1"/>
      <c r="B13" s="1" t="s">
        <v>71</v>
      </c>
      <c r="C13" s="1" t="s">
        <v>72</v>
      </c>
      <c r="D13" s="27">
        <v>1</v>
      </c>
      <c r="E13" s="6" t="s">
        <v>8</v>
      </c>
      <c r="F13" s="27">
        <v>1</v>
      </c>
      <c r="G13" s="1"/>
      <c r="H13" s="1"/>
      <c r="I13" s="11" t="str">
        <f>IF($AE12=$AF$13,V12,IF($AE13=$AF$13,V13,IF($AE14=$AF$13,V14,V15)))</f>
        <v>Russland</v>
      </c>
      <c r="J13" s="12">
        <f aca="true" t="shared" si="11" ref="J13:Q13">IF($AE12=$AF$13,W12,IF($AE13=$AF$13,W13,IF($AE14=$AF$13,W14,W15)))</f>
        <v>2</v>
      </c>
      <c r="K13" s="12">
        <f t="shared" si="11"/>
        <v>3</v>
      </c>
      <c r="L13" s="12">
        <f t="shared" si="11"/>
        <v>1</v>
      </c>
      <c r="M13" s="12">
        <f t="shared" si="11"/>
        <v>0</v>
      </c>
      <c r="N13" s="12">
        <f t="shared" si="11"/>
        <v>1</v>
      </c>
      <c r="O13" s="12">
        <f t="shared" si="11"/>
        <v>2</v>
      </c>
      <c r="P13" s="12">
        <f t="shared" si="11"/>
        <v>1</v>
      </c>
      <c r="Q13" s="12">
        <f t="shared" si="11"/>
        <v>1</v>
      </c>
      <c r="R13" s="6"/>
      <c r="S13" s="30">
        <f t="shared" si="7"/>
        <v>0</v>
      </c>
      <c r="T13" s="30">
        <f t="shared" si="8"/>
        <v>1</v>
      </c>
      <c r="U13" s="30">
        <f t="shared" si="9"/>
        <v>0</v>
      </c>
      <c r="V13" s="51" t="s">
        <v>73</v>
      </c>
      <c r="W13" s="30">
        <f>Y13+Z13+AA13</f>
        <v>2</v>
      </c>
      <c r="X13" s="30">
        <f>Y13*3+Z13</f>
        <v>3</v>
      </c>
      <c r="Y13" s="30">
        <f>S11+U12+U15</f>
        <v>1</v>
      </c>
      <c r="Z13" s="30">
        <f>T11+T12+T15</f>
        <v>0</v>
      </c>
      <c r="AA13" s="30">
        <f>U11+S12+S15</f>
        <v>1</v>
      </c>
      <c r="AB13" s="32">
        <f>D11+F12+F15</f>
        <v>2</v>
      </c>
      <c r="AC13" s="32">
        <f>F11+D12+D15</f>
        <v>1</v>
      </c>
      <c r="AD13" s="32">
        <f>AB13-AC13</f>
        <v>1</v>
      </c>
      <c r="AE13" s="31">
        <f>X13*100+(20+AD13)+AB13/100</f>
        <v>321.02</v>
      </c>
      <c r="AF13" s="49">
        <f>LARGE($AE$12:$AE$15,2)</f>
        <v>321.02</v>
      </c>
    </row>
    <row r="14" spans="1:32" ht="12.75">
      <c r="A14" s="1"/>
      <c r="B14" s="1" t="s">
        <v>74</v>
      </c>
      <c r="C14" s="1" t="s">
        <v>75</v>
      </c>
      <c r="D14" s="27"/>
      <c r="E14" s="6" t="s">
        <v>8</v>
      </c>
      <c r="F14" s="27"/>
      <c r="G14" s="1"/>
      <c r="H14" s="1"/>
      <c r="I14" s="28" t="str">
        <f>IF($AE12=$AF$14,V12,IF($AE13=$AF$14,V13,IF($AE14=$AF$14,V14,V15)))</f>
        <v>Belgia</v>
      </c>
      <c r="J14" s="29">
        <f aca="true" t="shared" si="12" ref="J14:Q14">IF($AE12=$AF$14,W12,IF($AE13=$AF$14,W13,IF($AE14=$AF$14,W14,W15)))</f>
        <v>2</v>
      </c>
      <c r="K14" s="29">
        <f t="shared" si="12"/>
        <v>2</v>
      </c>
      <c r="L14" s="29">
        <f t="shared" si="12"/>
        <v>0</v>
      </c>
      <c r="M14" s="29">
        <f t="shared" si="12"/>
        <v>2</v>
      </c>
      <c r="N14" s="29">
        <f t="shared" si="12"/>
        <v>0</v>
      </c>
      <c r="O14" s="29">
        <f t="shared" si="12"/>
        <v>3</v>
      </c>
      <c r="P14" s="29">
        <f t="shared" si="12"/>
        <v>3</v>
      </c>
      <c r="Q14" s="29">
        <f t="shared" si="12"/>
        <v>0</v>
      </c>
      <c r="R14" s="6"/>
      <c r="S14" s="30">
        <f t="shared" si="7"/>
        <v>0</v>
      </c>
      <c r="T14" s="30">
        <f t="shared" si="8"/>
        <v>0</v>
      </c>
      <c r="U14" s="30">
        <f t="shared" si="9"/>
        <v>0</v>
      </c>
      <c r="V14" s="51" t="s">
        <v>76</v>
      </c>
      <c r="W14" s="30">
        <f>Y14+Z14+AA14</f>
        <v>2</v>
      </c>
      <c r="X14" s="30">
        <f>Y14*3+Z14</f>
        <v>2</v>
      </c>
      <c r="Y14" s="30">
        <f>U10+U13+S15</f>
        <v>0</v>
      </c>
      <c r="Z14" s="30">
        <f>T10+T13+T15</f>
        <v>2</v>
      </c>
      <c r="AA14" s="30">
        <f>S10+S13+U15</f>
        <v>0</v>
      </c>
      <c r="AB14" s="32">
        <f>F10+F13+D15</f>
        <v>3</v>
      </c>
      <c r="AC14" s="32">
        <f>D10+D13+F15</f>
        <v>3</v>
      </c>
      <c r="AD14" s="32">
        <f>AB14-AC14</f>
        <v>0</v>
      </c>
      <c r="AE14" s="31">
        <f>X14*100+(20+AD14)+AB14/100</f>
        <v>220.03</v>
      </c>
      <c r="AF14" s="49">
        <f>LARGE($AE$12:$AE$15,3)</f>
        <v>220.03</v>
      </c>
    </row>
    <row r="15" spans="1:32" ht="12.75">
      <c r="A15" s="1"/>
      <c r="B15" s="1" t="s">
        <v>74</v>
      </c>
      <c r="C15" s="1" t="s">
        <v>77</v>
      </c>
      <c r="D15" s="27"/>
      <c r="E15" s="6" t="s">
        <v>8</v>
      </c>
      <c r="F15" s="27"/>
      <c r="G15" s="1"/>
      <c r="H15" s="1"/>
      <c r="I15" s="28" t="str">
        <f>IF($AE12=$AF$15,V12,IF($AE13=$AF$15,V13,IF($AE14=$AF$15,V14,V15)))</f>
        <v>Tunisia</v>
      </c>
      <c r="J15" s="29">
        <f aca="true" t="shared" si="13" ref="J15:Q15">IF($AE12=$AF$15,W12,IF($AE13=$AF$15,W13,IF($AE14=$AF$15,W14,W15)))</f>
        <v>2</v>
      </c>
      <c r="K15" s="29">
        <f t="shared" si="13"/>
        <v>1</v>
      </c>
      <c r="L15" s="29">
        <f t="shared" si="13"/>
        <v>0</v>
      </c>
      <c r="M15" s="29">
        <f t="shared" si="13"/>
        <v>1</v>
      </c>
      <c r="N15" s="29">
        <f t="shared" si="13"/>
        <v>1</v>
      </c>
      <c r="O15" s="29">
        <f t="shared" si="13"/>
        <v>1</v>
      </c>
      <c r="P15" s="29">
        <f t="shared" si="13"/>
        <v>3</v>
      </c>
      <c r="Q15" s="29">
        <f t="shared" si="13"/>
        <v>-2</v>
      </c>
      <c r="R15" s="6"/>
      <c r="S15" s="30">
        <f t="shared" si="7"/>
        <v>0</v>
      </c>
      <c r="T15" s="30">
        <f t="shared" si="8"/>
        <v>0</v>
      </c>
      <c r="U15" s="30">
        <f t="shared" si="9"/>
        <v>0</v>
      </c>
      <c r="V15" s="51" t="s">
        <v>78</v>
      </c>
      <c r="W15" s="30">
        <f>Y15+Z15+AA15</f>
        <v>2</v>
      </c>
      <c r="X15" s="30">
        <f>Y15*3+Z15</f>
        <v>1</v>
      </c>
      <c r="Y15" s="30">
        <f>U11+S13+S14</f>
        <v>0</v>
      </c>
      <c r="Z15" s="30">
        <f>T11+T13+T14</f>
        <v>1</v>
      </c>
      <c r="AA15" s="30">
        <f>S11+U13+U14</f>
        <v>1</v>
      </c>
      <c r="AB15" s="32">
        <f>F11+D13+D14</f>
        <v>1</v>
      </c>
      <c r="AC15" s="32">
        <f>D11+F13+F14</f>
        <v>3</v>
      </c>
      <c r="AD15" s="32">
        <f>AB15-AC15</f>
        <v>-2</v>
      </c>
      <c r="AE15" s="31">
        <f>X15*100+(20+AD15)+AB15/100</f>
        <v>118.01</v>
      </c>
      <c r="AF15" s="49">
        <f>LARGE($AE$12:$AE$15,4)</f>
        <v>118.01</v>
      </c>
    </row>
    <row r="16" spans="1:20" ht="16.5" customHeight="1">
      <c r="A16" s="1"/>
      <c r="B16" s="1"/>
      <c r="C16" s="1"/>
      <c r="D16" s="6"/>
      <c r="E16" s="6"/>
      <c r="F16" s="6"/>
      <c r="G16" s="1"/>
      <c r="H16" s="1"/>
      <c r="I16" s="19" t="str">
        <f>IF(SUM(J12:J15)=12,"Ferdig","Ikke ferdig")</f>
        <v>Ikke ferdig</v>
      </c>
      <c r="J16" s="1"/>
      <c r="K16" s="1"/>
      <c r="L16" s="1"/>
      <c r="M16" s="1"/>
      <c r="N16" s="1"/>
      <c r="O16" s="1"/>
      <c r="P16" s="1"/>
      <c r="Q16" s="1"/>
      <c r="R16" s="1"/>
      <c r="S16"/>
      <c r="T16"/>
    </row>
    <row r="17" spans="1:20" ht="4.5" customHeight="1">
      <c r="A17" s="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"/>
      <c r="S17"/>
      <c r="T17"/>
    </row>
    <row r="18" spans="1:20" ht="5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/>
      <c r="T18"/>
    </row>
    <row r="19" spans="1:20" ht="12.75">
      <c r="A19" s="1"/>
      <c r="B19" s="2" t="s">
        <v>0</v>
      </c>
      <c r="C19" s="2" t="s">
        <v>79</v>
      </c>
      <c r="D19" s="6"/>
      <c r="E19" s="6"/>
      <c r="F19" s="6"/>
      <c r="G19" s="1"/>
      <c r="H19" s="1"/>
      <c r="I19" s="1"/>
      <c r="J19" s="6"/>
      <c r="K19" s="1"/>
      <c r="L19" s="1"/>
      <c r="M19" s="1"/>
      <c r="N19" s="1"/>
      <c r="O19" s="1"/>
      <c r="P19" s="1"/>
      <c r="Q19" s="1"/>
      <c r="R19" s="6"/>
      <c r="T19"/>
    </row>
    <row r="20" spans="1:20" ht="12.75">
      <c r="A20" s="1"/>
      <c r="B20" s="1" t="s">
        <v>80</v>
      </c>
      <c r="C20" s="1" t="str">
        <f>Ener_C&amp;"-"&amp;Toer_H</f>
        <v>Brasil-Russland</v>
      </c>
      <c r="D20" s="6"/>
      <c r="E20" s="6"/>
      <c r="F20" s="6"/>
      <c r="G20" s="1"/>
      <c r="H20" s="1"/>
      <c r="I20" s="1"/>
      <c r="J20" s="6"/>
      <c r="K20" s="1"/>
      <c r="L20" s="1"/>
      <c r="M20" s="1"/>
      <c r="N20" s="1"/>
      <c r="O20" s="1"/>
      <c r="P20" s="1"/>
      <c r="Q20" s="1"/>
      <c r="R20" s="6"/>
      <c r="T20"/>
    </row>
    <row r="21" spans="1:19" ht="12.75">
      <c r="A21" s="1"/>
      <c r="B21" s="1" t="s">
        <v>81</v>
      </c>
      <c r="C21" s="1" t="str">
        <f>Ener_H&amp;"-"&amp;Toer_C</f>
        <v>Japan-Tyrkia</v>
      </c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/>
    </row>
    <row r="23" spans="1:18" ht="12.75">
      <c r="A23" s="1"/>
      <c r="B23" s="1"/>
      <c r="C23" s="1"/>
      <c r="D23" s="18"/>
      <c r="E23" s="18"/>
      <c r="F23" s="18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6"/>
    </row>
    <row r="24" spans="1:18" ht="12.75">
      <c r="A24" s="1"/>
      <c r="B24" s="1"/>
      <c r="C24" s="1"/>
      <c r="D24" s="6"/>
      <c r="E24" s="6"/>
      <c r="F24" s="1"/>
      <c r="G24" s="1"/>
      <c r="H24" s="1"/>
      <c r="I24" s="1"/>
      <c r="J24" s="6"/>
      <c r="K24" s="1"/>
      <c r="L24" s="1"/>
      <c r="M24" s="1"/>
      <c r="N24" s="1"/>
      <c r="O24" s="1"/>
      <c r="P24" s="1"/>
      <c r="Q24" s="1"/>
      <c r="R24" s="6"/>
    </row>
    <row r="25" spans="1:18" ht="12.75">
      <c r="A25" s="1"/>
      <c r="B25" s="1"/>
      <c r="C25" s="1"/>
      <c r="D25" s="6"/>
      <c r="E25" s="6"/>
      <c r="F25" s="1"/>
      <c r="G25" s="1"/>
      <c r="H25" s="1"/>
      <c r="I25" s="1"/>
      <c r="J25" s="6"/>
      <c r="K25" s="1"/>
      <c r="L25" s="1"/>
      <c r="M25" s="1"/>
      <c r="N25" s="1"/>
      <c r="O25" s="1"/>
      <c r="P25" s="1"/>
      <c r="Q25" s="1"/>
      <c r="R25" s="6"/>
    </row>
    <row r="26" spans="1:18" ht="12.75">
      <c r="A26" s="1"/>
      <c r="B26" s="1"/>
      <c r="C26" s="1"/>
      <c r="D26" s="6"/>
      <c r="E26" s="6"/>
      <c r="F26" s="1"/>
      <c r="G26" s="1"/>
      <c r="H26" s="1"/>
      <c r="I26" s="1"/>
      <c r="J26" s="6"/>
      <c r="K26" s="1"/>
      <c r="L26" s="1"/>
      <c r="M26" s="1"/>
      <c r="N26" s="1"/>
      <c r="O26" s="1"/>
      <c r="P26" s="1"/>
      <c r="Q26" s="1"/>
      <c r="R26" s="6"/>
    </row>
    <row r="27" spans="1:18" ht="12.75">
      <c r="A27" s="1"/>
      <c r="B27" s="1"/>
      <c r="C27" s="1"/>
      <c r="D27" s="6"/>
      <c r="E27" s="6"/>
      <c r="F27" s="1"/>
      <c r="G27" s="1"/>
      <c r="H27" s="1"/>
      <c r="I27" s="1"/>
      <c r="J27" s="6"/>
      <c r="K27" s="1"/>
      <c r="L27" s="1"/>
      <c r="M27" s="1"/>
      <c r="N27" s="1"/>
      <c r="O27" s="1"/>
      <c r="P27" s="1"/>
      <c r="Q27" s="1"/>
      <c r="R27" s="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7"/>
  <sheetViews>
    <sheetView workbookViewId="0" topLeftCell="A1">
      <selection activeCell="B22" sqref="B22"/>
    </sheetView>
  </sheetViews>
  <sheetFormatPr defaultColWidth="11.421875" defaultRowHeight="12.75"/>
  <cols>
    <col min="1" max="1" width="5.8515625" style="0" customWidth="1"/>
    <col min="2" max="2" width="13.140625" style="0" customWidth="1"/>
    <col min="3" max="3" width="16.8515625" style="0" customWidth="1"/>
    <col min="4" max="4" width="2.421875" style="7" customWidth="1"/>
    <col min="5" max="5" width="1.57421875" style="7" customWidth="1"/>
    <col min="6" max="6" width="2.421875" style="0" customWidth="1"/>
    <col min="7" max="7" width="1.421875" style="0" customWidth="1"/>
    <col min="8" max="8" width="6.00390625" style="0" customWidth="1"/>
    <col min="9" max="9" width="9.57421875" style="0" customWidth="1"/>
    <col min="10" max="10" width="4.28125" style="7" customWidth="1"/>
    <col min="11" max="11" width="4.14062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3.140625" style="0" customWidth="1"/>
    <col min="16" max="16" width="3.57421875" style="0" customWidth="1"/>
    <col min="17" max="17" width="4.28125" style="0" customWidth="1"/>
    <col min="18" max="18" width="34.7109375" style="7" customWidth="1"/>
    <col min="19" max="19" width="3.00390625" style="7" customWidth="1"/>
    <col min="20" max="20" width="2.28125" style="7" customWidth="1"/>
    <col min="21" max="21" width="2.7109375" style="0" customWidth="1"/>
    <col min="22" max="22" width="9.28125" style="0" customWidth="1"/>
    <col min="23" max="23" width="3.421875" style="0" customWidth="1"/>
    <col min="24" max="24" width="3.140625" style="0" customWidth="1"/>
    <col min="25" max="25" width="3.8515625" style="0" customWidth="1"/>
    <col min="26" max="27" width="4.00390625" style="0" customWidth="1"/>
    <col min="28" max="28" width="4.28125" style="0" customWidth="1"/>
    <col min="29" max="29" width="4.57421875" style="0" customWidth="1"/>
    <col min="30" max="30" width="3.28125" style="0" customWidth="1"/>
    <col min="31" max="31" width="7.00390625" style="0" customWidth="1"/>
    <col min="32" max="32" width="11.421875" style="7" customWidth="1"/>
  </cols>
  <sheetData>
    <row r="1" spans="1:32" ht="33.75" customHeight="1">
      <c r="A1" s="1"/>
      <c r="B1" s="2" t="s">
        <v>0</v>
      </c>
      <c r="C1" s="2" t="s">
        <v>82</v>
      </c>
      <c r="D1" s="3" t="s">
        <v>2</v>
      </c>
      <c r="E1" s="4"/>
      <c r="F1" s="4"/>
      <c r="G1" s="4"/>
      <c r="H1" s="4"/>
      <c r="I1" s="5"/>
      <c r="J1" s="6"/>
      <c r="K1" s="1"/>
      <c r="L1" s="1"/>
      <c r="M1" s="1"/>
      <c r="N1" s="1"/>
      <c r="O1" s="1"/>
      <c r="P1" s="1"/>
      <c r="Q1" s="1"/>
      <c r="R1" s="6"/>
      <c r="S1" s="44" t="s">
        <v>3</v>
      </c>
      <c r="T1" s="44" t="s">
        <v>4</v>
      </c>
      <c r="U1" s="44" t="s">
        <v>5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0"/>
    </row>
    <row r="2" spans="1:32" ht="12.75">
      <c r="A2" s="1"/>
      <c r="B2" s="1" t="s">
        <v>32</v>
      </c>
      <c r="C2" s="1" t="s">
        <v>83</v>
      </c>
      <c r="D2" s="26">
        <v>2</v>
      </c>
      <c r="E2" s="8" t="s">
        <v>8</v>
      </c>
      <c r="F2" s="26">
        <v>2</v>
      </c>
      <c r="G2" s="6"/>
      <c r="H2" s="6"/>
      <c r="I2" s="1"/>
      <c r="J2" s="6"/>
      <c r="K2" s="1"/>
      <c r="L2" s="1"/>
      <c r="M2" s="1"/>
      <c r="N2" s="1"/>
      <c r="O2" s="1"/>
      <c r="P2" s="1"/>
      <c r="Q2" s="1"/>
      <c r="R2" s="6"/>
      <c r="S2" s="30">
        <f aca="true" t="shared" si="0" ref="S2:S7">IF(D2&gt;F2,1,0)</f>
        <v>0</v>
      </c>
      <c r="T2" s="30">
        <f aca="true" t="shared" si="1" ref="T2:T7">IF(AND(D2=F2,F2&lt;&gt;""),1,0)</f>
        <v>1</v>
      </c>
      <c r="U2" s="30">
        <f aca="true" t="shared" si="2" ref="U2:U7">IF(F2&gt;D2,1,0)</f>
        <v>0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0"/>
    </row>
    <row r="3" spans="1:32" ht="12.75">
      <c r="A3" s="1"/>
      <c r="B3" s="1" t="s">
        <v>32</v>
      </c>
      <c r="C3" s="1" t="s">
        <v>84</v>
      </c>
      <c r="D3" s="26">
        <v>3</v>
      </c>
      <c r="E3" s="8" t="s">
        <v>8</v>
      </c>
      <c r="F3" s="26">
        <v>1</v>
      </c>
      <c r="G3" s="6"/>
      <c r="H3" s="6"/>
      <c r="I3" s="2" t="s">
        <v>11</v>
      </c>
      <c r="J3" s="9" t="s">
        <v>12</v>
      </c>
      <c r="K3" s="9" t="s">
        <v>13</v>
      </c>
      <c r="L3" s="9" t="s">
        <v>14</v>
      </c>
      <c r="M3" s="9" t="s">
        <v>4</v>
      </c>
      <c r="N3" s="9" t="s">
        <v>15</v>
      </c>
      <c r="O3" s="9" t="s">
        <v>16</v>
      </c>
      <c r="P3" s="9" t="s">
        <v>17</v>
      </c>
      <c r="Q3" s="10" t="s">
        <v>18</v>
      </c>
      <c r="R3" s="6"/>
      <c r="S3" s="30">
        <f t="shared" si="0"/>
        <v>1</v>
      </c>
      <c r="T3" s="30">
        <f t="shared" si="1"/>
        <v>0</v>
      </c>
      <c r="U3" s="30">
        <f t="shared" si="2"/>
        <v>0</v>
      </c>
      <c r="V3" s="45" t="s">
        <v>11</v>
      </c>
      <c r="W3" s="44" t="s">
        <v>12</v>
      </c>
      <c r="X3" s="44" t="s">
        <v>13</v>
      </c>
      <c r="Y3" s="44" t="s">
        <v>14</v>
      </c>
      <c r="Z3" s="44" t="s">
        <v>4</v>
      </c>
      <c r="AA3" s="44" t="s">
        <v>15</v>
      </c>
      <c r="AB3" s="46" t="s">
        <v>16</v>
      </c>
      <c r="AC3" s="46" t="s">
        <v>17</v>
      </c>
      <c r="AD3" s="47" t="s">
        <v>19</v>
      </c>
      <c r="AE3" s="48" t="str">
        <f>"'P'"</f>
        <v>'P'</v>
      </c>
      <c r="AF3" s="48" t="s">
        <v>20</v>
      </c>
    </row>
    <row r="4" spans="1:32" ht="12.75">
      <c r="A4" s="1"/>
      <c r="B4" s="1" t="s">
        <v>35</v>
      </c>
      <c r="C4" s="1" t="s">
        <v>85</v>
      </c>
      <c r="D4" s="26">
        <v>3</v>
      </c>
      <c r="E4" s="8" t="s">
        <v>8</v>
      </c>
      <c r="F4" s="26">
        <v>1</v>
      </c>
      <c r="G4" s="6"/>
      <c r="H4" s="6"/>
      <c r="I4" s="11" t="str">
        <f>IF($AE4=$AF$4,V4,IF($AE5=$AF$4,V5,IF($AE6=$AF$4,V6,V7)))</f>
        <v>Spania</v>
      </c>
      <c r="J4" s="12">
        <f aca="true" t="shared" si="3" ref="J4:Q4">IF($AE4=$AF$4,W4,IF($AE5=$AF$4,W5,IF($AE6=$AF$4,W6,W7)))</f>
        <v>3</v>
      </c>
      <c r="K4" s="12">
        <f t="shared" si="3"/>
        <v>9</v>
      </c>
      <c r="L4" s="12">
        <f t="shared" si="3"/>
        <v>3</v>
      </c>
      <c r="M4" s="12">
        <f t="shared" si="3"/>
        <v>0</v>
      </c>
      <c r="N4" s="12">
        <f t="shared" si="3"/>
        <v>0</v>
      </c>
      <c r="O4" s="12">
        <f t="shared" si="3"/>
        <v>9</v>
      </c>
      <c r="P4" s="12">
        <f t="shared" si="3"/>
        <v>4</v>
      </c>
      <c r="Q4" s="12">
        <f t="shared" si="3"/>
        <v>5</v>
      </c>
      <c r="R4" s="6"/>
      <c r="S4" s="30">
        <f t="shared" si="0"/>
        <v>1</v>
      </c>
      <c r="T4" s="30">
        <f t="shared" si="1"/>
        <v>0</v>
      </c>
      <c r="U4" s="30">
        <f t="shared" si="2"/>
        <v>0</v>
      </c>
      <c r="V4" s="31" t="s">
        <v>86</v>
      </c>
      <c r="W4" s="30">
        <f>Y4+Z4+AA4</f>
        <v>3</v>
      </c>
      <c r="X4" s="30">
        <f>Y4*3+Z4</f>
        <v>4</v>
      </c>
      <c r="Y4" s="30">
        <f>S2+U4+U7</f>
        <v>1</v>
      </c>
      <c r="Z4" s="30">
        <f>T2+T4+T7</f>
        <v>1</v>
      </c>
      <c r="AA4" s="30">
        <f>U2+S4+S7</f>
        <v>1</v>
      </c>
      <c r="AB4" s="32">
        <f>D2+F4+F7</f>
        <v>6</v>
      </c>
      <c r="AC4" s="32">
        <f>F2+D4+D7</f>
        <v>6</v>
      </c>
      <c r="AD4" s="32">
        <f>AB4-AC4</f>
        <v>0</v>
      </c>
      <c r="AE4" s="31">
        <f>X4*100+(20+AD4)+AB4/100</f>
        <v>420.06</v>
      </c>
      <c r="AF4" s="49">
        <f>LARGE($AE$4:$AE$7,1)</f>
        <v>925.09</v>
      </c>
    </row>
    <row r="5" spans="1:32" ht="12.75">
      <c r="A5" s="1"/>
      <c r="B5" s="1" t="s">
        <v>53</v>
      </c>
      <c r="C5" s="1" t="s">
        <v>87</v>
      </c>
      <c r="D5" s="26">
        <v>1</v>
      </c>
      <c r="E5" s="8" t="s">
        <v>8</v>
      </c>
      <c r="F5" s="26">
        <v>0</v>
      </c>
      <c r="G5" s="6"/>
      <c r="H5" s="6"/>
      <c r="I5" s="11" t="str">
        <f>IF($AE4=$AF$5,V4,IF($AE5=$AF$5,V5,IF($AE6=$AF$5,V6,V7)))</f>
        <v>Paraguay</v>
      </c>
      <c r="J5" s="12">
        <f aca="true" t="shared" si="4" ref="J5:Q5">IF($AE4=$AF$5,W4,IF($AE5=$AF$5,W5,IF($AE6=$AF$5,W6,W7)))</f>
        <v>3</v>
      </c>
      <c r="K5" s="12">
        <f t="shared" si="4"/>
        <v>4</v>
      </c>
      <c r="L5" s="12">
        <f t="shared" si="4"/>
        <v>1</v>
      </c>
      <c r="M5" s="12">
        <f t="shared" si="4"/>
        <v>1</v>
      </c>
      <c r="N5" s="12">
        <f t="shared" si="4"/>
        <v>1</v>
      </c>
      <c r="O5" s="12">
        <f t="shared" si="4"/>
        <v>6</v>
      </c>
      <c r="P5" s="12">
        <f t="shared" si="4"/>
        <v>6</v>
      </c>
      <c r="Q5" s="12">
        <f t="shared" si="4"/>
        <v>0</v>
      </c>
      <c r="R5" s="6"/>
      <c r="S5" s="30">
        <f t="shared" si="0"/>
        <v>1</v>
      </c>
      <c r="T5" s="30">
        <f t="shared" si="1"/>
        <v>0</v>
      </c>
      <c r="U5" s="30">
        <f t="shared" si="2"/>
        <v>0</v>
      </c>
      <c r="V5" s="31" t="s">
        <v>88</v>
      </c>
      <c r="W5" s="30">
        <f>Y5+Z5+AA5</f>
        <v>3</v>
      </c>
      <c r="X5" s="30">
        <f>Y5*3+Z5</f>
        <v>9</v>
      </c>
      <c r="Y5" s="30">
        <f>S3+S4+U6</f>
        <v>3</v>
      </c>
      <c r="Z5" s="30">
        <f>T3+T4+T6</f>
        <v>0</v>
      </c>
      <c r="AA5" s="30">
        <f>U3+U4+S6</f>
        <v>0</v>
      </c>
      <c r="AB5" s="32">
        <f>D3+D4+F6</f>
        <v>9</v>
      </c>
      <c r="AC5" s="32">
        <f>F3+F4+D6</f>
        <v>4</v>
      </c>
      <c r="AD5" s="32">
        <f>AB5-AC5</f>
        <v>5</v>
      </c>
      <c r="AE5" s="31">
        <f>X5*100+(20+AD5)+AB5/100</f>
        <v>925.09</v>
      </c>
      <c r="AF5" s="49">
        <f>LARGE($AE$4:$AE$7,2)</f>
        <v>420.06</v>
      </c>
    </row>
    <row r="6" spans="1:32" ht="12.75">
      <c r="A6" s="1"/>
      <c r="B6" s="1" t="s">
        <v>40</v>
      </c>
      <c r="C6" s="1" t="s">
        <v>89</v>
      </c>
      <c r="D6" s="26">
        <v>2</v>
      </c>
      <c r="E6" s="8" t="s">
        <v>8</v>
      </c>
      <c r="F6" s="26">
        <v>3</v>
      </c>
      <c r="G6" s="6"/>
      <c r="H6" s="6"/>
      <c r="I6" s="28" t="str">
        <f>IF($AE4=$AF$6,V4,IF($AE5=$AF$6,V5,IF($AE6=$AF$6,V6,V7)))</f>
        <v>Sør Afrika</v>
      </c>
      <c r="J6" s="29">
        <f aca="true" t="shared" si="5" ref="J6:Q6">IF($AE4=$AF$6,W4,IF($AE5=$AF$6,W5,IF($AE6=$AF$6,W6,W7)))</f>
        <v>3</v>
      </c>
      <c r="K6" s="29">
        <f t="shared" si="5"/>
        <v>4</v>
      </c>
      <c r="L6" s="29">
        <f t="shared" si="5"/>
        <v>1</v>
      </c>
      <c r="M6" s="29">
        <f t="shared" si="5"/>
        <v>1</v>
      </c>
      <c r="N6" s="29">
        <f t="shared" si="5"/>
        <v>1</v>
      </c>
      <c r="O6" s="29">
        <f t="shared" si="5"/>
        <v>5</v>
      </c>
      <c r="P6" s="29">
        <f t="shared" si="5"/>
        <v>5</v>
      </c>
      <c r="Q6" s="29">
        <f t="shared" si="5"/>
        <v>0</v>
      </c>
      <c r="R6" s="6"/>
      <c r="S6" s="30">
        <f t="shared" si="0"/>
        <v>0</v>
      </c>
      <c r="T6" s="30">
        <f t="shared" si="1"/>
        <v>0</v>
      </c>
      <c r="U6" s="30">
        <f t="shared" si="2"/>
        <v>1</v>
      </c>
      <c r="V6" s="31" t="s">
        <v>90</v>
      </c>
      <c r="W6" s="30">
        <f>Y6+Z6+AA6</f>
        <v>3</v>
      </c>
      <c r="X6" s="30">
        <f>Y6*3+Z6</f>
        <v>4</v>
      </c>
      <c r="Y6" s="30">
        <f>U2+S5+S6</f>
        <v>1</v>
      </c>
      <c r="Z6" s="30">
        <f>T2+T5+T6</f>
        <v>1</v>
      </c>
      <c r="AA6" s="30">
        <f>S2+U5+U6</f>
        <v>1</v>
      </c>
      <c r="AB6" s="32">
        <f>F2+D5+D6</f>
        <v>5</v>
      </c>
      <c r="AC6" s="32">
        <f>D2+F5+F6</f>
        <v>5</v>
      </c>
      <c r="AD6" s="32">
        <f>AB6-AC6</f>
        <v>0</v>
      </c>
      <c r="AE6" s="31">
        <f>X6*100+(20+AD6)+AB6/100</f>
        <v>420.05</v>
      </c>
      <c r="AF6" s="49">
        <f>LARGE($AE$4:$AE$7,3)</f>
        <v>420.05</v>
      </c>
    </row>
    <row r="7" spans="1:32" ht="12.75">
      <c r="A7" s="1"/>
      <c r="B7" s="1" t="s">
        <v>40</v>
      </c>
      <c r="C7" s="1" t="s">
        <v>91</v>
      </c>
      <c r="D7" s="26">
        <v>1</v>
      </c>
      <c r="E7" s="8" t="s">
        <v>8</v>
      </c>
      <c r="F7" s="26">
        <v>3</v>
      </c>
      <c r="G7" s="1"/>
      <c r="H7" s="6"/>
      <c r="I7" s="28" t="str">
        <f>IF($AE4=$AF$7,V4,IF($AE5=$AF$7,V5,IF($AE6=$AF$7,V6,V7)))</f>
        <v>Slovenia</v>
      </c>
      <c r="J7" s="29">
        <f aca="true" t="shared" si="6" ref="J7:Q7">IF($AE4=$AF$7,W4,IF($AE5=$AF$7,W5,IF($AE6=$AF$7,W6,W7)))</f>
        <v>3</v>
      </c>
      <c r="K7" s="29">
        <f t="shared" si="6"/>
        <v>0</v>
      </c>
      <c r="L7" s="29">
        <f t="shared" si="6"/>
        <v>0</v>
      </c>
      <c r="M7" s="29">
        <f t="shared" si="6"/>
        <v>0</v>
      </c>
      <c r="N7" s="29">
        <f t="shared" si="6"/>
        <v>3</v>
      </c>
      <c r="O7" s="29">
        <f t="shared" si="6"/>
        <v>2</v>
      </c>
      <c r="P7" s="29">
        <f t="shared" si="6"/>
        <v>7</v>
      </c>
      <c r="Q7" s="29">
        <f t="shared" si="6"/>
        <v>-5</v>
      </c>
      <c r="R7" s="6"/>
      <c r="S7" s="30">
        <f t="shared" si="0"/>
        <v>0</v>
      </c>
      <c r="T7" s="30">
        <f t="shared" si="1"/>
        <v>0</v>
      </c>
      <c r="U7" s="30">
        <f t="shared" si="2"/>
        <v>1</v>
      </c>
      <c r="V7" s="31" t="s">
        <v>92</v>
      </c>
      <c r="W7" s="30">
        <f>Y7+Z7+AA7</f>
        <v>3</v>
      </c>
      <c r="X7" s="30">
        <f>Y7*3+Z7</f>
        <v>0</v>
      </c>
      <c r="Y7" s="30">
        <f>U3+U5+S7</f>
        <v>0</v>
      </c>
      <c r="Z7" s="30">
        <f>T3+T5+T7</f>
        <v>0</v>
      </c>
      <c r="AA7" s="30">
        <f>S3+S5+U7</f>
        <v>3</v>
      </c>
      <c r="AB7" s="32">
        <f>F3+F5+D7</f>
        <v>2</v>
      </c>
      <c r="AC7" s="32">
        <f>D3+D5+F7</f>
        <v>7</v>
      </c>
      <c r="AD7" s="32">
        <f>AB7-AC7</f>
        <v>-5</v>
      </c>
      <c r="AE7" s="31">
        <f>X7*100+(20+AD7)+AB7/100</f>
        <v>15.02</v>
      </c>
      <c r="AF7" s="49">
        <f>LARGE($AE$4:$AE$7,4)</f>
        <v>15.02</v>
      </c>
    </row>
    <row r="8" spans="1:32" ht="12.75">
      <c r="A8" s="1"/>
      <c r="B8" s="1"/>
      <c r="C8" s="1"/>
      <c r="D8" s="6"/>
      <c r="E8" s="6"/>
      <c r="F8" s="1"/>
      <c r="G8" s="1"/>
      <c r="H8" s="6"/>
      <c r="I8" s="2" t="str">
        <f>IF(SUM(J4:J7)=12,"Ferdig","Ikke ferdig")</f>
        <v>Ferdig</v>
      </c>
      <c r="J8" s="6"/>
      <c r="K8" s="1"/>
      <c r="L8" s="1"/>
      <c r="M8" s="1"/>
      <c r="N8" s="1"/>
      <c r="O8" s="1"/>
      <c r="P8" s="1"/>
      <c r="Q8" s="1"/>
      <c r="R8" s="6"/>
      <c r="S8" s="30"/>
      <c r="T8" s="30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0"/>
    </row>
    <row r="9" spans="1:32" ht="12.75">
      <c r="A9" s="1"/>
      <c r="B9" s="2" t="s">
        <v>0</v>
      </c>
      <c r="C9" s="2" t="s">
        <v>93</v>
      </c>
      <c r="D9" s="15" t="s">
        <v>2</v>
      </c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44" t="s">
        <v>3</v>
      </c>
      <c r="T9" s="44" t="s">
        <v>4</v>
      </c>
      <c r="U9" s="44" t="s">
        <v>5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0"/>
    </row>
    <row r="10" spans="1:32" ht="12.75">
      <c r="A10" s="1"/>
      <c r="B10" s="1" t="s">
        <v>9</v>
      </c>
      <c r="C10" s="1" t="s">
        <v>94</v>
      </c>
      <c r="D10" s="27">
        <v>1</v>
      </c>
      <c r="E10" s="6" t="s">
        <v>8</v>
      </c>
      <c r="F10" s="27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30">
        <f aca="true" t="shared" si="7" ref="S10:S15">IF(D10&gt;F10,1,0)</f>
        <v>0</v>
      </c>
      <c r="T10" s="30">
        <f aca="true" t="shared" si="8" ref="T10:T15">IF(AND(D10=F10,F10&lt;&gt;""),1,0)</f>
        <v>1</v>
      </c>
      <c r="U10" s="30">
        <f aca="true" t="shared" si="9" ref="U10:U15">IF(F10&gt;D10,1,0)</f>
        <v>0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0"/>
    </row>
    <row r="11" spans="1:32" ht="12.75">
      <c r="A11" s="1"/>
      <c r="B11" s="1" t="s">
        <v>9</v>
      </c>
      <c r="C11" s="1" t="s">
        <v>95</v>
      </c>
      <c r="D11" s="27">
        <v>8</v>
      </c>
      <c r="E11" s="6" t="s">
        <v>8</v>
      </c>
      <c r="F11" s="27">
        <v>0</v>
      </c>
      <c r="G11" s="1"/>
      <c r="H11" s="1"/>
      <c r="I11" s="2" t="s">
        <v>11</v>
      </c>
      <c r="J11" s="9" t="s">
        <v>12</v>
      </c>
      <c r="K11" s="9" t="s">
        <v>13</v>
      </c>
      <c r="L11" s="9" t="s">
        <v>14</v>
      </c>
      <c r="M11" s="9" t="s">
        <v>4</v>
      </c>
      <c r="N11" s="9" t="s">
        <v>15</v>
      </c>
      <c r="O11" s="9" t="s">
        <v>16</v>
      </c>
      <c r="P11" s="9" t="s">
        <v>17</v>
      </c>
      <c r="Q11" s="10" t="s">
        <v>18</v>
      </c>
      <c r="R11" s="6"/>
      <c r="S11" s="30">
        <f t="shared" si="7"/>
        <v>1</v>
      </c>
      <c r="T11" s="30">
        <f t="shared" si="8"/>
        <v>0</v>
      </c>
      <c r="U11" s="30">
        <f t="shared" si="9"/>
        <v>0</v>
      </c>
      <c r="V11" s="50" t="s">
        <v>11</v>
      </c>
      <c r="W11" s="48" t="s">
        <v>12</v>
      </c>
      <c r="X11" s="48" t="s">
        <v>13</v>
      </c>
      <c r="Y11" s="48" t="s">
        <v>14</v>
      </c>
      <c r="Z11" s="48" t="s">
        <v>4</v>
      </c>
      <c r="AA11" s="48" t="s">
        <v>15</v>
      </c>
      <c r="AB11" s="48" t="s">
        <v>16</v>
      </c>
      <c r="AC11" s="48" t="s">
        <v>17</v>
      </c>
      <c r="AD11" s="47" t="s">
        <v>18</v>
      </c>
      <c r="AE11" s="48" t="str">
        <f>"'P'"</f>
        <v>'P'</v>
      </c>
      <c r="AF11" s="48" t="s">
        <v>20</v>
      </c>
    </row>
    <row r="12" spans="1:32" ht="12.75">
      <c r="A12" s="1"/>
      <c r="B12" s="1" t="s">
        <v>66</v>
      </c>
      <c r="C12" s="1" t="s">
        <v>96</v>
      </c>
      <c r="D12" s="27">
        <v>1</v>
      </c>
      <c r="E12" s="6" t="s">
        <v>8</v>
      </c>
      <c r="F12" s="27">
        <v>1</v>
      </c>
      <c r="G12" s="1"/>
      <c r="H12" s="1"/>
      <c r="I12" s="11" t="str">
        <f>IF($AE12=$AF$12,V12,IF($AE13=$AF$12,V13,IF($AE14=$AF$12,V14,V15)))</f>
        <v>Tyskland</v>
      </c>
      <c r="J12" s="12">
        <f aca="true" t="shared" si="10" ref="J12:Q12">IF($AE12=$AF$12,W12,IF($AE13=$AF$12,W13,IF($AE14=$AF$12,W14,W15)))</f>
        <v>3</v>
      </c>
      <c r="K12" s="12">
        <f t="shared" si="10"/>
        <v>7</v>
      </c>
      <c r="L12" s="12">
        <f t="shared" si="10"/>
        <v>2</v>
      </c>
      <c r="M12" s="12">
        <f t="shared" si="10"/>
        <v>1</v>
      </c>
      <c r="N12" s="12">
        <f t="shared" si="10"/>
        <v>0</v>
      </c>
      <c r="O12" s="12">
        <f t="shared" si="10"/>
        <v>11</v>
      </c>
      <c r="P12" s="12">
        <f t="shared" si="10"/>
        <v>1</v>
      </c>
      <c r="Q12" s="12">
        <f t="shared" si="10"/>
        <v>10</v>
      </c>
      <c r="R12" s="6"/>
      <c r="S12" s="30">
        <f t="shared" si="7"/>
        <v>0</v>
      </c>
      <c r="T12" s="30">
        <f t="shared" si="8"/>
        <v>1</v>
      </c>
      <c r="U12" s="30">
        <f t="shared" si="9"/>
        <v>0</v>
      </c>
      <c r="V12" s="51" t="s">
        <v>97</v>
      </c>
      <c r="W12" s="30">
        <f>Y12+Z12+AA12</f>
        <v>3</v>
      </c>
      <c r="X12" s="30">
        <f>Y12*3+Z12</f>
        <v>5</v>
      </c>
      <c r="Y12" s="30">
        <f>S10+U12+U15</f>
        <v>1</v>
      </c>
      <c r="Z12" s="30">
        <f>T10+T12+T15</f>
        <v>2</v>
      </c>
      <c r="AA12" s="30">
        <f>U10+S12+S15</f>
        <v>0</v>
      </c>
      <c r="AB12" s="32">
        <f>D10+F12+F15</f>
        <v>5</v>
      </c>
      <c r="AC12" s="32">
        <f>F10+D12+D15</f>
        <v>2</v>
      </c>
      <c r="AD12" s="32">
        <f>AB12-AC12</f>
        <v>3</v>
      </c>
      <c r="AE12" s="31">
        <f>X12*100+(20+AD12)+AB12/100</f>
        <v>523.05</v>
      </c>
      <c r="AF12" s="49">
        <f>LARGE($AE$12:$AE$15,1)</f>
        <v>730.11</v>
      </c>
    </row>
    <row r="13" spans="1:32" ht="12.75">
      <c r="A13" s="1"/>
      <c r="B13" s="1" t="s">
        <v>21</v>
      </c>
      <c r="C13" s="1" t="s">
        <v>98</v>
      </c>
      <c r="D13" s="27">
        <v>1</v>
      </c>
      <c r="E13" s="6" t="s">
        <v>8</v>
      </c>
      <c r="F13" s="27">
        <v>0</v>
      </c>
      <c r="G13" s="1"/>
      <c r="H13" s="1"/>
      <c r="I13" s="11" t="str">
        <f>IF($AE12=$AF$13,V12,IF($AE13=$AF$13,V13,IF($AE14=$AF$13,V14,V15)))</f>
        <v>Irland</v>
      </c>
      <c r="J13" s="12">
        <f aca="true" t="shared" si="11" ref="J13:Q13">IF($AE12=$AF$13,W12,IF($AE13=$AF$13,W13,IF($AE14=$AF$13,W14,W15)))</f>
        <v>3</v>
      </c>
      <c r="K13" s="12">
        <f t="shared" si="11"/>
        <v>5</v>
      </c>
      <c r="L13" s="12">
        <f t="shared" si="11"/>
        <v>1</v>
      </c>
      <c r="M13" s="12">
        <f t="shared" si="11"/>
        <v>2</v>
      </c>
      <c r="N13" s="12">
        <f t="shared" si="11"/>
        <v>0</v>
      </c>
      <c r="O13" s="12">
        <f t="shared" si="11"/>
        <v>5</v>
      </c>
      <c r="P13" s="12">
        <f t="shared" si="11"/>
        <v>2</v>
      </c>
      <c r="Q13" s="12">
        <f t="shared" si="11"/>
        <v>3</v>
      </c>
      <c r="R13" s="6"/>
      <c r="S13" s="30">
        <f t="shared" si="7"/>
        <v>1</v>
      </c>
      <c r="T13" s="30">
        <f t="shared" si="8"/>
        <v>0</v>
      </c>
      <c r="U13" s="30">
        <f t="shared" si="9"/>
        <v>0</v>
      </c>
      <c r="V13" s="51" t="s">
        <v>99</v>
      </c>
      <c r="W13" s="30">
        <f>Y13+Z13+AA13</f>
        <v>3</v>
      </c>
      <c r="X13" s="30">
        <f>Y13*3+Z13</f>
        <v>7</v>
      </c>
      <c r="Y13" s="30">
        <f>S11+S12+U14</f>
        <v>2</v>
      </c>
      <c r="Z13" s="30">
        <f>T11+T12+T14</f>
        <v>1</v>
      </c>
      <c r="AA13" s="30">
        <f>U11+U12+S14</f>
        <v>0</v>
      </c>
      <c r="AB13" s="32">
        <f>D11+D12+F14</f>
        <v>11</v>
      </c>
      <c r="AC13" s="32">
        <f>F11+F12+D14</f>
        <v>1</v>
      </c>
      <c r="AD13" s="32">
        <f>AB13-AC13</f>
        <v>10</v>
      </c>
      <c r="AE13" s="31">
        <f>X13*100+(20+AD13)+AB13/100</f>
        <v>730.11</v>
      </c>
      <c r="AF13" s="49">
        <f>LARGE($AE$12:$AE$15,2)</f>
        <v>523.05</v>
      </c>
    </row>
    <row r="14" spans="1:32" ht="12.75">
      <c r="A14" s="1"/>
      <c r="B14" s="1" t="s">
        <v>26</v>
      </c>
      <c r="C14" s="1" t="s">
        <v>100</v>
      </c>
      <c r="D14" s="27">
        <v>0</v>
      </c>
      <c r="E14" s="6" t="s">
        <v>8</v>
      </c>
      <c r="F14" s="27">
        <v>2</v>
      </c>
      <c r="G14" s="1"/>
      <c r="H14" s="1"/>
      <c r="I14" s="28" t="str">
        <f>IF($AE12=$AF$14,V12,IF($AE13=$AF$14,V13,IF($AE14=$AF$14,V14,V15)))</f>
        <v>Kamerun</v>
      </c>
      <c r="J14" s="29">
        <f aca="true" t="shared" si="12" ref="J14:Q14">IF($AE12=$AF$14,W12,IF($AE13=$AF$14,W13,IF($AE14=$AF$14,W14,W15)))</f>
        <v>3</v>
      </c>
      <c r="K14" s="29">
        <f t="shared" si="12"/>
        <v>4</v>
      </c>
      <c r="L14" s="29">
        <f t="shared" si="12"/>
        <v>1</v>
      </c>
      <c r="M14" s="29">
        <f t="shared" si="12"/>
        <v>1</v>
      </c>
      <c r="N14" s="29">
        <f t="shared" si="12"/>
        <v>1</v>
      </c>
      <c r="O14" s="29">
        <f t="shared" si="12"/>
        <v>2</v>
      </c>
      <c r="P14" s="29">
        <f t="shared" si="12"/>
        <v>3</v>
      </c>
      <c r="Q14" s="29">
        <f t="shared" si="12"/>
        <v>-1</v>
      </c>
      <c r="R14" s="6"/>
      <c r="S14" s="30">
        <f t="shared" si="7"/>
        <v>0</v>
      </c>
      <c r="T14" s="30">
        <f t="shared" si="8"/>
        <v>0</v>
      </c>
      <c r="U14" s="30">
        <f t="shared" si="9"/>
        <v>1</v>
      </c>
      <c r="V14" s="51" t="s">
        <v>101</v>
      </c>
      <c r="W14" s="30">
        <f>Y14+Z14+AA14</f>
        <v>3</v>
      </c>
      <c r="X14" s="30">
        <f>Y14*3+Z14</f>
        <v>4</v>
      </c>
      <c r="Y14" s="30">
        <f>U10+S13+S14</f>
        <v>1</v>
      </c>
      <c r="Z14" s="30">
        <f>T10+T13+T14</f>
        <v>1</v>
      </c>
      <c r="AA14" s="30">
        <f>S10+U13+U14</f>
        <v>1</v>
      </c>
      <c r="AB14" s="32">
        <f>F10+D13+D14</f>
        <v>2</v>
      </c>
      <c r="AC14" s="32">
        <f>D10+F13+F14</f>
        <v>3</v>
      </c>
      <c r="AD14" s="32">
        <f>AB14-AC14</f>
        <v>-1</v>
      </c>
      <c r="AE14" s="31">
        <f>X14*100+(20+AD14)+AB14/100</f>
        <v>419.02</v>
      </c>
      <c r="AF14" s="49">
        <f>LARGE($AE$12:$AE$15,3)</f>
        <v>419.02</v>
      </c>
    </row>
    <row r="15" spans="1:32" ht="12.75">
      <c r="A15" s="1"/>
      <c r="B15" s="1" t="s">
        <v>26</v>
      </c>
      <c r="C15" s="1" t="s">
        <v>102</v>
      </c>
      <c r="D15" s="27">
        <v>0</v>
      </c>
      <c r="E15" s="6" t="s">
        <v>8</v>
      </c>
      <c r="F15" s="27">
        <v>3</v>
      </c>
      <c r="G15" s="1"/>
      <c r="H15" s="1"/>
      <c r="I15" s="28" t="str">
        <f>IF($AE12=$AF$15,V12,IF($AE13=$AF$15,V13,IF($AE14=$AF$15,V14,V15)))</f>
        <v>Saudi-Arabia</v>
      </c>
      <c r="J15" s="29">
        <f aca="true" t="shared" si="13" ref="J15:Q15">IF($AE12=$AF$15,W12,IF($AE13=$AF$15,W13,IF($AE14=$AF$15,W14,W15)))</f>
        <v>3</v>
      </c>
      <c r="K15" s="29">
        <f t="shared" si="13"/>
        <v>0</v>
      </c>
      <c r="L15" s="29">
        <f t="shared" si="13"/>
        <v>0</v>
      </c>
      <c r="M15" s="29">
        <f t="shared" si="13"/>
        <v>0</v>
      </c>
      <c r="N15" s="29">
        <f t="shared" si="13"/>
        <v>3</v>
      </c>
      <c r="O15" s="29">
        <f t="shared" si="13"/>
        <v>0</v>
      </c>
      <c r="P15" s="29">
        <f t="shared" si="13"/>
        <v>12</v>
      </c>
      <c r="Q15" s="29">
        <f t="shared" si="13"/>
        <v>-12</v>
      </c>
      <c r="R15" s="6"/>
      <c r="S15" s="30">
        <f t="shared" si="7"/>
        <v>0</v>
      </c>
      <c r="T15" s="30">
        <f t="shared" si="8"/>
        <v>0</v>
      </c>
      <c r="U15" s="30">
        <f t="shared" si="9"/>
        <v>1</v>
      </c>
      <c r="V15" s="51" t="s">
        <v>103</v>
      </c>
      <c r="W15" s="30">
        <f>Y15+Z15+AA15</f>
        <v>3</v>
      </c>
      <c r="X15" s="30">
        <f>Y15*3+Z15</f>
        <v>0</v>
      </c>
      <c r="Y15" s="30">
        <f>U11+U13+S15</f>
        <v>0</v>
      </c>
      <c r="Z15" s="30">
        <f>T11+T13+T15</f>
        <v>0</v>
      </c>
      <c r="AA15" s="30">
        <f>S11+S13+U15</f>
        <v>3</v>
      </c>
      <c r="AB15" s="32">
        <f>F11+F13+D15</f>
        <v>0</v>
      </c>
      <c r="AC15" s="32">
        <f>D11+D13+F15</f>
        <v>12</v>
      </c>
      <c r="AD15" s="32">
        <f>AB15-AC15</f>
        <v>-12</v>
      </c>
      <c r="AE15" s="31">
        <f>X15*100+(20+AD15)+AB15/100</f>
        <v>8</v>
      </c>
      <c r="AF15" s="49">
        <f>LARGE($AE$12:$AE$15,4)</f>
        <v>8</v>
      </c>
    </row>
    <row r="16" spans="1:32" ht="16.5" customHeight="1">
      <c r="A16" s="1"/>
      <c r="B16" s="1"/>
      <c r="C16" s="1"/>
      <c r="D16" s="6"/>
      <c r="E16" s="6"/>
      <c r="F16" s="6"/>
      <c r="G16" s="1"/>
      <c r="H16" s="1"/>
      <c r="I16" s="19" t="str">
        <f>IF(SUM(J12:J15)=12,"Ferdig","Ikke ferdig")</f>
        <v>Ferdig</v>
      </c>
      <c r="J16" s="1"/>
      <c r="K16" s="1"/>
      <c r="L16" s="1"/>
      <c r="M16" s="1"/>
      <c r="N16" s="1"/>
      <c r="O16" s="1"/>
      <c r="P16" s="1"/>
      <c r="Q16" s="1"/>
      <c r="R16" s="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0"/>
    </row>
    <row r="17" spans="1:20" ht="4.5" customHeight="1">
      <c r="A17" s="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"/>
      <c r="S17"/>
      <c r="T17"/>
    </row>
    <row r="18" spans="1:20" ht="5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/>
      <c r="T18"/>
    </row>
    <row r="19" spans="1:20" ht="12.75">
      <c r="A19" s="1"/>
      <c r="B19" s="2" t="s">
        <v>0</v>
      </c>
      <c r="C19" s="2" t="s">
        <v>45</v>
      </c>
      <c r="D19" s="6"/>
      <c r="E19" s="6"/>
      <c r="F19" s="6"/>
      <c r="G19" s="1"/>
      <c r="H19" s="1"/>
      <c r="I19" s="1"/>
      <c r="J19" s="6"/>
      <c r="K19" s="1"/>
      <c r="L19" s="1"/>
      <c r="M19" s="1"/>
      <c r="N19" s="1"/>
      <c r="O19" s="1"/>
      <c r="P19" s="1"/>
      <c r="Q19" s="1"/>
      <c r="R19" s="6"/>
      <c r="T19"/>
    </row>
    <row r="20" spans="1:20" ht="12.75">
      <c r="A20" s="1"/>
      <c r="B20" s="1" t="s">
        <v>46</v>
      </c>
      <c r="C20" s="1" t="str">
        <f>Ener_E&amp;"-"&amp;Toer_B</f>
        <v>Tyskland-Paraguay</v>
      </c>
      <c r="D20" s="6"/>
      <c r="E20" s="6"/>
      <c r="F20" s="6"/>
      <c r="G20" s="1"/>
      <c r="H20" s="1"/>
      <c r="I20" s="1"/>
      <c r="J20" s="6"/>
      <c r="K20" s="1"/>
      <c r="L20" s="1"/>
      <c r="M20" s="1"/>
      <c r="N20" s="1"/>
      <c r="O20" s="1"/>
      <c r="P20" s="1"/>
      <c r="Q20" s="1"/>
      <c r="R20" s="6"/>
      <c r="T20"/>
    </row>
    <row r="21" spans="1:19" ht="12.75">
      <c r="A21" s="1"/>
      <c r="B21" s="1" t="s">
        <v>47</v>
      </c>
      <c r="C21" s="1" t="str">
        <f>Ener_B&amp;"-"&amp;Toer_E</f>
        <v>Spania-Irland</v>
      </c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/>
    </row>
    <row r="23" spans="1:18" ht="12.75">
      <c r="A23" s="1"/>
      <c r="B23" s="1"/>
      <c r="C23" s="1"/>
      <c r="D23" s="18"/>
      <c r="E23" s="18"/>
      <c r="F23" s="18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6"/>
    </row>
    <row r="24" spans="1:18" ht="12.75">
      <c r="A24" s="1"/>
      <c r="B24" s="1"/>
      <c r="C24" s="1"/>
      <c r="D24" s="6"/>
      <c r="E24" s="6"/>
      <c r="F24" s="1"/>
      <c r="G24" s="1"/>
      <c r="H24" s="1"/>
      <c r="I24" s="1"/>
      <c r="J24" s="6"/>
      <c r="K24" s="1"/>
      <c r="L24" s="1"/>
      <c r="M24" s="1"/>
      <c r="N24" s="1"/>
      <c r="O24" s="1"/>
      <c r="P24" s="1"/>
      <c r="Q24" s="1"/>
      <c r="R24" s="6"/>
    </row>
    <row r="25" spans="1:18" ht="12.75">
      <c r="A25" s="1"/>
      <c r="B25" s="1"/>
      <c r="C25" s="1"/>
      <c r="D25" s="6"/>
      <c r="E25" s="6"/>
      <c r="F25" s="1"/>
      <c r="G25" s="1"/>
      <c r="H25" s="1"/>
      <c r="I25" s="1"/>
      <c r="J25" s="6"/>
      <c r="K25" s="1"/>
      <c r="L25" s="1"/>
      <c r="M25" s="1"/>
      <c r="N25" s="1"/>
      <c r="O25" s="1"/>
      <c r="P25" s="1"/>
      <c r="Q25" s="1"/>
      <c r="R25" s="6"/>
    </row>
    <row r="26" spans="1:18" ht="12.75">
      <c r="A26" s="1"/>
      <c r="B26" s="1"/>
      <c r="C26" s="1"/>
      <c r="D26" s="6"/>
      <c r="E26" s="6"/>
      <c r="F26" s="1"/>
      <c r="G26" s="1"/>
      <c r="H26" s="1"/>
      <c r="I26" s="1"/>
      <c r="J26" s="6"/>
      <c r="K26" s="1"/>
      <c r="L26" s="1"/>
      <c r="M26" s="1"/>
      <c r="N26" s="1"/>
      <c r="O26" s="1"/>
      <c r="P26" s="1"/>
      <c r="Q26" s="1"/>
      <c r="R26" s="6"/>
    </row>
    <row r="27" spans="1:18" ht="12.75">
      <c r="A27" s="1"/>
      <c r="B27" s="1"/>
      <c r="C27" s="1"/>
      <c r="D27" s="6"/>
      <c r="E27" s="6"/>
      <c r="F27" s="1"/>
      <c r="G27" s="1"/>
      <c r="H27" s="1"/>
      <c r="I27" s="1"/>
      <c r="J27" s="6"/>
      <c r="K27" s="1"/>
      <c r="L27" s="1"/>
      <c r="M27" s="1"/>
      <c r="N27" s="1"/>
      <c r="O27" s="1"/>
      <c r="P27" s="1"/>
      <c r="Q27" s="1"/>
      <c r="R27" s="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7"/>
  <sheetViews>
    <sheetView workbookViewId="0" topLeftCell="A1">
      <selection activeCell="B22" sqref="B22"/>
    </sheetView>
  </sheetViews>
  <sheetFormatPr defaultColWidth="11.421875" defaultRowHeight="12.75"/>
  <cols>
    <col min="1" max="1" width="5.8515625" style="0" customWidth="1"/>
    <col min="2" max="2" width="13.140625" style="0" customWidth="1"/>
    <col min="3" max="3" width="16.8515625" style="0" customWidth="1"/>
    <col min="4" max="4" width="2.421875" style="7" customWidth="1"/>
    <col min="5" max="5" width="1.57421875" style="7" customWidth="1"/>
    <col min="6" max="6" width="2.421875" style="0" customWidth="1"/>
    <col min="7" max="7" width="1.421875" style="0" customWidth="1"/>
    <col min="8" max="8" width="6.00390625" style="0" customWidth="1"/>
    <col min="9" max="9" width="9.57421875" style="0" customWidth="1"/>
    <col min="10" max="10" width="4.28125" style="7" customWidth="1"/>
    <col min="11" max="11" width="4.14062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3.140625" style="0" customWidth="1"/>
    <col min="16" max="16" width="3.57421875" style="0" customWidth="1"/>
    <col min="17" max="17" width="4.28125" style="0" customWidth="1"/>
    <col min="18" max="18" width="34.7109375" style="7" customWidth="1"/>
    <col min="19" max="19" width="3.00390625" style="7" customWidth="1"/>
    <col min="20" max="20" width="2.28125" style="7" customWidth="1"/>
    <col min="21" max="21" width="2.7109375" style="0" customWidth="1"/>
    <col min="22" max="22" width="9.28125" style="0" customWidth="1"/>
    <col min="23" max="23" width="3.421875" style="0" customWidth="1"/>
    <col min="24" max="24" width="3.140625" style="0" customWidth="1"/>
    <col min="25" max="25" width="3.8515625" style="0" customWidth="1"/>
    <col min="26" max="27" width="4.00390625" style="0" customWidth="1"/>
    <col min="28" max="28" width="4.28125" style="0" customWidth="1"/>
    <col min="29" max="29" width="4.57421875" style="0" customWidth="1"/>
    <col min="30" max="30" width="3.28125" style="0" customWidth="1"/>
    <col min="31" max="31" width="7.00390625" style="0" customWidth="1"/>
    <col min="32" max="32" width="10.00390625" style="7" customWidth="1"/>
  </cols>
  <sheetData>
    <row r="1" spans="1:32" ht="33.75" customHeight="1">
      <c r="A1" s="1"/>
      <c r="B1" s="2" t="s">
        <v>0</v>
      </c>
      <c r="C1" s="2" t="s">
        <v>104</v>
      </c>
      <c r="D1" s="3" t="s">
        <v>2</v>
      </c>
      <c r="E1" s="4"/>
      <c r="F1" s="4"/>
      <c r="G1" s="4"/>
      <c r="H1" s="4"/>
      <c r="I1" s="5"/>
      <c r="J1" s="6"/>
      <c r="K1" s="1"/>
      <c r="L1" s="1"/>
      <c r="M1" s="1"/>
      <c r="N1" s="1"/>
      <c r="O1" s="1"/>
      <c r="P1" s="1"/>
      <c r="Q1" s="1"/>
      <c r="R1" s="6"/>
      <c r="S1" s="44" t="s">
        <v>3</v>
      </c>
      <c r="T1" s="44" t="s">
        <v>4</v>
      </c>
      <c r="U1" s="44" t="s">
        <v>5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0"/>
    </row>
    <row r="2" spans="1:32" ht="12.75">
      <c r="A2" s="1"/>
      <c r="B2" s="1" t="s">
        <v>51</v>
      </c>
      <c r="C2" s="1" t="s">
        <v>105</v>
      </c>
      <c r="D2" s="26">
        <v>2</v>
      </c>
      <c r="E2" s="8" t="s">
        <v>8</v>
      </c>
      <c r="F2" s="26">
        <v>0</v>
      </c>
      <c r="G2" s="6"/>
      <c r="H2" s="6"/>
      <c r="I2" s="1"/>
      <c r="J2" s="6"/>
      <c r="K2" s="1"/>
      <c r="L2" s="1"/>
      <c r="M2" s="1"/>
      <c r="N2" s="1"/>
      <c r="O2" s="1"/>
      <c r="P2" s="1"/>
      <c r="Q2" s="1"/>
      <c r="R2" s="6"/>
      <c r="S2" s="30">
        <f aca="true" t="shared" si="0" ref="S2:S7">IF(D2&gt;F2,1,0)</f>
        <v>1</v>
      </c>
      <c r="T2" s="30">
        <f aca="true" t="shared" si="1" ref="T2:T7">IF(AND(D2=F2,F2&lt;&gt;""),1,0)</f>
        <v>0</v>
      </c>
      <c r="U2" s="30">
        <f aca="true" t="shared" si="2" ref="U2:U7">IF(F2&gt;D2,1,0)</f>
        <v>0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0"/>
    </row>
    <row r="3" spans="1:32" ht="12.75">
      <c r="A3" s="1"/>
      <c r="B3" s="1" t="s">
        <v>66</v>
      </c>
      <c r="C3" s="1" t="s">
        <v>106</v>
      </c>
      <c r="D3" s="26">
        <v>3</v>
      </c>
      <c r="E3" s="8" t="s">
        <v>8</v>
      </c>
      <c r="F3" s="26">
        <v>2</v>
      </c>
      <c r="G3" s="6"/>
      <c r="H3" s="6"/>
      <c r="I3" s="2" t="s">
        <v>11</v>
      </c>
      <c r="J3" s="9" t="s">
        <v>12</v>
      </c>
      <c r="K3" s="9" t="s">
        <v>13</v>
      </c>
      <c r="L3" s="9" t="s">
        <v>14</v>
      </c>
      <c r="M3" s="9" t="s">
        <v>4</v>
      </c>
      <c r="N3" s="9" t="s">
        <v>15</v>
      </c>
      <c r="O3" s="9" t="s">
        <v>16</v>
      </c>
      <c r="P3" s="9" t="s">
        <v>17</v>
      </c>
      <c r="Q3" s="10" t="s">
        <v>18</v>
      </c>
      <c r="R3" s="6"/>
      <c r="S3" s="30">
        <f t="shared" si="0"/>
        <v>1</v>
      </c>
      <c r="T3" s="30">
        <f t="shared" si="1"/>
        <v>0</v>
      </c>
      <c r="U3" s="30">
        <f t="shared" si="2"/>
        <v>0</v>
      </c>
      <c r="V3" s="45" t="s">
        <v>11</v>
      </c>
      <c r="W3" s="44" t="s">
        <v>12</v>
      </c>
      <c r="X3" s="44" t="s">
        <v>13</v>
      </c>
      <c r="Y3" s="44" t="s">
        <v>14</v>
      </c>
      <c r="Z3" s="44" t="s">
        <v>4</v>
      </c>
      <c r="AA3" s="44" t="s">
        <v>15</v>
      </c>
      <c r="AB3" s="46" t="s">
        <v>16</v>
      </c>
      <c r="AC3" s="46" t="s">
        <v>17</v>
      </c>
      <c r="AD3" s="47" t="s">
        <v>19</v>
      </c>
      <c r="AE3" s="48" t="str">
        <f>"'P'"</f>
        <v>'P'</v>
      </c>
      <c r="AF3" s="48" t="s">
        <v>20</v>
      </c>
    </row>
    <row r="4" spans="1:32" ht="12.75">
      <c r="A4" s="1"/>
      <c r="B4" s="1" t="s">
        <v>71</v>
      </c>
      <c r="C4" s="1" t="s">
        <v>107</v>
      </c>
      <c r="D4" s="26">
        <v>1</v>
      </c>
      <c r="E4" s="8" t="s">
        <v>8</v>
      </c>
      <c r="F4" s="26">
        <v>1</v>
      </c>
      <c r="G4" s="6"/>
      <c r="H4" s="6"/>
      <c r="I4" s="11" t="str">
        <f>IF($AE4=$AF$4,V4,IF($AE5=$AF$4,V5,IF($AE6=$AF$4,V6,V7)))</f>
        <v>Sør Korea</v>
      </c>
      <c r="J4" s="12">
        <f aca="true" t="shared" si="3" ref="J4:Q4">IF($AE4=$AF$4,W4,IF($AE5=$AF$4,W5,IF($AE6=$AF$4,W6,W7)))</f>
        <v>2</v>
      </c>
      <c r="K4" s="12">
        <f t="shared" si="3"/>
        <v>4</v>
      </c>
      <c r="L4" s="12">
        <f t="shared" si="3"/>
        <v>1</v>
      </c>
      <c r="M4" s="12">
        <f t="shared" si="3"/>
        <v>1</v>
      </c>
      <c r="N4" s="12">
        <f t="shared" si="3"/>
        <v>0</v>
      </c>
      <c r="O4" s="12">
        <f t="shared" si="3"/>
        <v>3</v>
      </c>
      <c r="P4" s="12">
        <f t="shared" si="3"/>
        <v>1</v>
      </c>
      <c r="Q4" s="12">
        <f t="shared" si="3"/>
        <v>2</v>
      </c>
      <c r="R4" s="6"/>
      <c r="S4" s="30">
        <f t="shared" si="0"/>
        <v>0</v>
      </c>
      <c r="T4" s="30">
        <f t="shared" si="1"/>
        <v>1</v>
      </c>
      <c r="U4" s="30">
        <f t="shared" si="2"/>
        <v>0</v>
      </c>
      <c r="V4" s="31" t="s">
        <v>108</v>
      </c>
      <c r="W4" s="30">
        <f>Y4+Z4+AA4</f>
        <v>2</v>
      </c>
      <c r="X4" s="30">
        <f>Y4*3+Z4</f>
        <v>4</v>
      </c>
      <c r="Y4" s="30">
        <f>S2+S4+U6</f>
        <v>1</v>
      </c>
      <c r="Z4" s="30">
        <f>T2+T4+T6</f>
        <v>1</v>
      </c>
      <c r="AA4" s="30">
        <f>U2+U4+S6</f>
        <v>0</v>
      </c>
      <c r="AB4" s="32">
        <f>D2+D4+F6</f>
        <v>3</v>
      </c>
      <c r="AC4" s="32">
        <f>F2+F4+D6</f>
        <v>1</v>
      </c>
      <c r="AD4" s="32">
        <f>AB4-AC4</f>
        <v>2</v>
      </c>
      <c r="AE4" s="31">
        <f>X4*100+(20+AD4)+AB4/100</f>
        <v>422.03</v>
      </c>
      <c r="AF4" s="49">
        <f>LARGE($AE$4:$AE$7,1)</f>
        <v>422.03</v>
      </c>
    </row>
    <row r="5" spans="1:32" ht="12.75">
      <c r="A5" s="1"/>
      <c r="B5" s="1" t="s">
        <v>71</v>
      </c>
      <c r="C5" s="1" t="s">
        <v>109</v>
      </c>
      <c r="D5" s="26">
        <v>4</v>
      </c>
      <c r="E5" s="8" t="s">
        <v>8</v>
      </c>
      <c r="F5" s="26">
        <v>0</v>
      </c>
      <c r="G5" s="6"/>
      <c r="H5" s="6"/>
      <c r="I5" s="11" t="str">
        <f>IF($AE4=$AF$5,V4,IF($AE5=$AF$5,V5,IF($AE6=$AF$5,V6,V7)))</f>
        <v>USA</v>
      </c>
      <c r="J5" s="12">
        <f aca="true" t="shared" si="4" ref="J5:Q5">IF($AE4=$AF$5,W4,IF($AE5=$AF$5,W5,IF($AE6=$AF$5,W6,W7)))</f>
        <v>2</v>
      </c>
      <c r="K5" s="12">
        <f t="shared" si="4"/>
        <v>4</v>
      </c>
      <c r="L5" s="12">
        <f t="shared" si="4"/>
        <v>1</v>
      </c>
      <c r="M5" s="12">
        <f t="shared" si="4"/>
        <v>1</v>
      </c>
      <c r="N5" s="12">
        <f t="shared" si="4"/>
        <v>0</v>
      </c>
      <c r="O5" s="12">
        <f t="shared" si="4"/>
        <v>4</v>
      </c>
      <c r="P5" s="12">
        <f t="shared" si="4"/>
        <v>3</v>
      </c>
      <c r="Q5" s="12">
        <f t="shared" si="4"/>
        <v>1</v>
      </c>
      <c r="R5" s="6"/>
      <c r="S5" s="30">
        <f t="shared" si="0"/>
        <v>1</v>
      </c>
      <c r="T5" s="30">
        <f t="shared" si="1"/>
        <v>0</v>
      </c>
      <c r="U5" s="30">
        <f t="shared" si="2"/>
        <v>0</v>
      </c>
      <c r="V5" s="31" t="s">
        <v>110</v>
      </c>
      <c r="W5" s="30">
        <f>Y5+Z5+AA5</f>
        <v>2</v>
      </c>
      <c r="X5" s="30">
        <f>Y5*3+Z5</f>
        <v>4</v>
      </c>
      <c r="Y5" s="30">
        <f>S3+U4+U7</f>
        <v>1</v>
      </c>
      <c r="Z5" s="30">
        <f>T3+T4+T7</f>
        <v>1</v>
      </c>
      <c r="AA5" s="30">
        <f>U3+S4+S7</f>
        <v>0</v>
      </c>
      <c r="AB5" s="32">
        <f>D3+F4+F7</f>
        <v>4</v>
      </c>
      <c r="AC5" s="32">
        <f>F3+D4+D7</f>
        <v>3</v>
      </c>
      <c r="AD5" s="32">
        <f>AB5-AC5</f>
        <v>1</v>
      </c>
      <c r="AE5" s="31">
        <f>X5*100+(20+AD5)+AB5/100</f>
        <v>421.04</v>
      </c>
      <c r="AF5" s="49">
        <f>LARGE($AE$4:$AE$7,2)</f>
        <v>421.04</v>
      </c>
    </row>
    <row r="6" spans="1:32" ht="12.75">
      <c r="A6" s="1"/>
      <c r="B6" s="1" t="s">
        <v>74</v>
      </c>
      <c r="C6" s="1" t="s">
        <v>111</v>
      </c>
      <c r="D6" s="26"/>
      <c r="E6" s="8" t="s">
        <v>8</v>
      </c>
      <c r="F6" s="26"/>
      <c r="G6" s="6"/>
      <c r="H6" s="6"/>
      <c r="I6" s="28" t="str">
        <f>IF($AE4=$AF$6,V4,IF($AE5=$AF$6,V5,IF($AE6=$AF$6,V6,V7)))</f>
        <v>Portugal</v>
      </c>
      <c r="J6" s="29">
        <f aca="true" t="shared" si="5" ref="J6:Q6">IF($AE4=$AF$6,W4,IF($AE5=$AF$6,W5,IF($AE6=$AF$6,W6,W7)))</f>
        <v>2</v>
      </c>
      <c r="K6" s="29">
        <f t="shared" si="5"/>
        <v>3</v>
      </c>
      <c r="L6" s="29">
        <f t="shared" si="5"/>
        <v>1</v>
      </c>
      <c r="M6" s="29">
        <f t="shared" si="5"/>
        <v>0</v>
      </c>
      <c r="N6" s="29">
        <f t="shared" si="5"/>
        <v>1</v>
      </c>
      <c r="O6" s="29">
        <f t="shared" si="5"/>
        <v>6</v>
      </c>
      <c r="P6" s="29">
        <f t="shared" si="5"/>
        <v>3</v>
      </c>
      <c r="Q6" s="29">
        <f t="shared" si="5"/>
        <v>3</v>
      </c>
      <c r="R6" s="6"/>
      <c r="S6" s="30">
        <f t="shared" si="0"/>
        <v>0</v>
      </c>
      <c r="T6" s="30">
        <f t="shared" si="1"/>
        <v>0</v>
      </c>
      <c r="U6" s="30">
        <f t="shared" si="2"/>
        <v>0</v>
      </c>
      <c r="V6" s="31" t="s">
        <v>112</v>
      </c>
      <c r="W6" s="30">
        <f>Y6+Z6+AA6</f>
        <v>2</v>
      </c>
      <c r="X6" s="30">
        <f>Y6*3+Z6</f>
        <v>0</v>
      </c>
      <c r="Y6" s="30">
        <f>U2+U5+S7</f>
        <v>0</v>
      </c>
      <c r="Z6" s="30">
        <f>T2+T5+T7</f>
        <v>0</v>
      </c>
      <c r="AA6" s="30">
        <f>S2+S5+U7</f>
        <v>2</v>
      </c>
      <c r="AB6" s="32">
        <f>F2+F5+D7</f>
        <v>0</v>
      </c>
      <c r="AC6" s="32">
        <f>D2+D5+F7</f>
        <v>6</v>
      </c>
      <c r="AD6" s="32">
        <f>AB6-AC6</f>
        <v>-6</v>
      </c>
      <c r="AE6" s="31">
        <f>X6*100+(20+AD6)+AB6/100</f>
        <v>14</v>
      </c>
      <c r="AF6" s="49">
        <f>LARGE($AE$4:$AE$7,3)</f>
        <v>323.06</v>
      </c>
    </row>
    <row r="7" spans="1:32" ht="12.75">
      <c r="A7" s="1"/>
      <c r="B7" s="1" t="s">
        <v>74</v>
      </c>
      <c r="C7" s="1" t="s">
        <v>113</v>
      </c>
      <c r="D7" s="26"/>
      <c r="E7" s="8" t="s">
        <v>8</v>
      </c>
      <c r="F7" s="26"/>
      <c r="G7" s="1"/>
      <c r="H7" s="6"/>
      <c r="I7" s="28" t="str">
        <f>IF($AE4=$AF$7,V4,IF($AE5=$AF$7,V5,IF($AE6=$AF$7,V6,V7)))</f>
        <v>Polen</v>
      </c>
      <c r="J7" s="29">
        <f aca="true" t="shared" si="6" ref="J7:Q7">IF($AE4=$AF$7,W4,IF($AE5=$AF$7,W5,IF($AE6=$AF$7,W6,W7)))</f>
        <v>2</v>
      </c>
      <c r="K7" s="29">
        <f t="shared" si="6"/>
        <v>0</v>
      </c>
      <c r="L7" s="29">
        <f t="shared" si="6"/>
        <v>0</v>
      </c>
      <c r="M7" s="29">
        <f t="shared" si="6"/>
        <v>0</v>
      </c>
      <c r="N7" s="29">
        <f t="shared" si="6"/>
        <v>2</v>
      </c>
      <c r="O7" s="29">
        <f t="shared" si="6"/>
        <v>0</v>
      </c>
      <c r="P7" s="29">
        <f t="shared" si="6"/>
        <v>6</v>
      </c>
      <c r="Q7" s="29">
        <f t="shared" si="6"/>
        <v>-6</v>
      </c>
      <c r="R7" s="6"/>
      <c r="S7" s="30">
        <f t="shared" si="0"/>
        <v>0</v>
      </c>
      <c r="T7" s="30">
        <f t="shared" si="1"/>
        <v>0</v>
      </c>
      <c r="U7" s="30">
        <f t="shared" si="2"/>
        <v>0</v>
      </c>
      <c r="V7" s="31" t="s">
        <v>114</v>
      </c>
      <c r="W7" s="30">
        <f>Y7+Z7+AA7</f>
        <v>2</v>
      </c>
      <c r="X7" s="30">
        <f>Y7*3+Z7</f>
        <v>3</v>
      </c>
      <c r="Y7" s="30">
        <f>U3+S5+S6</f>
        <v>1</v>
      </c>
      <c r="Z7" s="30">
        <f>T3+T5+T6</f>
        <v>0</v>
      </c>
      <c r="AA7" s="30">
        <f>S3+U5+U6</f>
        <v>1</v>
      </c>
      <c r="AB7" s="32">
        <f>F3+D5+D6</f>
        <v>6</v>
      </c>
      <c r="AC7" s="32">
        <f>D3+F5+F6</f>
        <v>3</v>
      </c>
      <c r="AD7" s="32">
        <f>AB7-AC7</f>
        <v>3</v>
      </c>
      <c r="AE7" s="31">
        <f>X7*100+(20+AD7)+AB7/100</f>
        <v>323.06</v>
      </c>
      <c r="AF7" s="49">
        <f>LARGE($AE$4:$AE$7,4)</f>
        <v>14</v>
      </c>
    </row>
    <row r="8" spans="1:32" ht="12.75">
      <c r="A8" s="1"/>
      <c r="B8" s="1"/>
      <c r="C8" s="1"/>
      <c r="D8" s="6"/>
      <c r="E8" s="6"/>
      <c r="F8" s="1"/>
      <c r="G8" s="1"/>
      <c r="H8" s="6"/>
      <c r="I8" s="2" t="str">
        <f>IF(SUM(J4:J7)=12,"Ferdig","Ikke ferdig")</f>
        <v>Ikke ferdig</v>
      </c>
      <c r="J8" s="6"/>
      <c r="K8" s="1"/>
      <c r="L8" s="1"/>
      <c r="M8" s="1"/>
      <c r="N8" s="1"/>
      <c r="O8" s="1"/>
      <c r="P8" s="1"/>
      <c r="Q8" s="1"/>
      <c r="R8" s="6"/>
      <c r="S8" s="30"/>
      <c r="T8" s="30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0"/>
    </row>
    <row r="9" spans="1:32" ht="12.75">
      <c r="A9" s="1"/>
      <c r="B9" s="2" t="s">
        <v>0</v>
      </c>
      <c r="C9" s="2" t="s">
        <v>115</v>
      </c>
      <c r="D9" s="15" t="s">
        <v>2</v>
      </c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44" t="s">
        <v>3</v>
      </c>
      <c r="T9" s="44" t="s">
        <v>4</v>
      </c>
      <c r="U9" s="44" t="s">
        <v>5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0"/>
    </row>
    <row r="10" spans="1:32" ht="12.75">
      <c r="A10" s="1"/>
      <c r="B10" s="1" t="s">
        <v>49</v>
      </c>
      <c r="C10" s="1" t="s">
        <v>116</v>
      </c>
      <c r="D10" s="27">
        <v>0</v>
      </c>
      <c r="E10" s="6" t="s">
        <v>8</v>
      </c>
      <c r="F10" s="27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30">
        <f aca="true" t="shared" si="7" ref="S10:S15">IF(D10&gt;F10,1,0)</f>
        <v>0</v>
      </c>
      <c r="T10" s="30">
        <f aca="true" t="shared" si="8" ref="T10:T15">IF(AND(D10=F10,F10&lt;&gt;""),1,0)</f>
        <v>0</v>
      </c>
      <c r="U10" s="30">
        <f aca="true" t="shared" si="9" ref="U10:U15">IF(F10&gt;D10,1,0)</f>
        <v>1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0"/>
    </row>
    <row r="11" spans="1:32" ht="12.75">
      <c r="A11" s="1"/>
      <c r="B11" s="1" t="s">
        <v>49</v>
      </c>
      <c r="C11" s="1" t="s">
        <v>117</v>
      </c>
      <c r="D11" s="27">
        <v>2</v>
      </c>
      <c r="E11" s="6" t="s">
        <v>8</v>
      </c>
      <c r="F11" s="27">
        <v>0</v>
      </c>
      <c r="G11" s="1"/>
      <c r="H11" s="1"/>
      <c r="I11" s="2" t="s">
        <v>11</v>
      </c>
      <c r="J11" s="9" t="s">
        <v>12</v>
      </c>
      <c r="K11" s="9" t="s">
        <v>13</v>
      </c>
      <c r="L11" s="9" t="s">
        <v>14</v>
      </c>
      <c r="M11" s="9" t="s">
        <v>4</v>
      </c>
      <c r="N11" s="9" t="s">
        <v>15</v>
      </c>
      <c r="O11" s="9" t="s">
        <v>16</v>
      </c>
      <c r="P11" s="9" t="s">
        <v>17</v>
      </c>
      <c r="Q11" s="10" t="s">
        <v>18</v>
      </c>
      <c r="R11" s="6"/>
      <c r="S11" s="30">
        <f t="shared" si="7"/>
        <v>1</v>
      </c>
      <c r="T11" s="30">
        <f t="shared" si="8"/>
        <v>0</v>
      </c>
      <c r="U11" s="30">
        <f t="shared" si="9"/>
        <v>0</v>
      </c>
      <c r="V11" s="50" t="s">
        <v>11</v>
      </c>
      <c r="W11" s="48" t="s">
        <v>12</v>
      </c>
      <c r="X11" s="48" t="s">
        <v>13</v>
      </c>
      <c r="Y11" s="48" t="s">
        <v>14</v>
      </c>
      <c r="Z11" s="48" t="s">
        <v>4</v>
      </c>
      <c r="AA11" s="48" t="s">
        <v>15</v>
      </c>
      <c r="AB11" s="48" t="s">
        <v>16</v>
      </c>
      <c r="AC11" s="48" t="s">
        <v>17</v>
      </c>
      <c r="AD11" s="47" t="s">
        <v>18</v>
      </c>
      <c r="AE11" s="48" t="str">
        <f>"'P'"</f>
        <v>'P'</v>
      </c>
      <c r="AF11" s="48" t="s">
        <v>20</v>
      </c>
    </row>
    <row r="12" spans="1:32" ht="12.75">
      <c r="A12" s="1"/>
      <c r="B12" s="1" t="s">
        <v>53</v>
      </c>
      <c r="C12" s="1" t="s">
        <v>118</v>
      </c>
      <c r="D12" s="27">
        <v>1</v>
      </c>
      <c r="E12" s="6" t="s">
        <v>8</v>
      </c>
      <c r="F12" s="27">
        <v>2</v>
      </c>
      <c r="G12" s="1"/>
      <c r="H12" s="1"/>
      <c r="I12" s="11" t="str">
        <f>IF($AE12=$AF$12,V12,IF($AE13=$AF$12,V13,IF($AE14=$AF$12,V14,V15)))</f>
        <v>Mexico</v>
      </c>
      <c r="J12" s="12">
        <f aca="true" t="shared" si="10" ref="J12:Q12">IF($AE12=$AF$12,W12,IF($AE13=$AF$12,W13,IF($AE14=$AF$12,W14,W15)))</f>
        <v>3</v>
      </c>
      <c r="K12" s="12">
        <f t="shared" si="10"/>
        <v>7</v>
      </c>
      <c r="L12" s="12">
        <f t="shared" si="10"/>
        <v>2</v>
      </c>
      <c r="M12" s="12">
        <f t="shared" si="10"/>
        <v>1</v>
      </c>
      <c r="N12" s="12">
        <f t="shared" si="10"/>
        <v>0</v>
      </c>
      <c r="O12" s="12">
        <f t="shared" si="10"/>
        <v>4</v>
      </c>
      <c r="P12" s="12">
        <f t="shared" si="10"/>
        <v>2</v>
      </c>
      <c r="Q12" s="12">
        <f t="shared" si="10"/>
        <v>2</v>
      </c>
      <c r="R12" s="6"/>
      <c r="S12" s="30">
        <f t="shared" si="7"/>
        <v>0</v>
      </c>
      <c r="T12" s="30">
        <f t="shared" si="8"/>
        <v>0</v>
      </c>
      <c r="U12" s="30">
        <f t="shared" si="9"/>
        <v>1</v>
      </c>
      <c r="V12" s="51" t="s">
        <v>119</v>
      </c>
      <c r="W12" s="30">
        <f>Y12+Z12+AA12</f>
        <v>3</v>
      </c>
      <c r="X12" s="30">
        <f>Y12*3+Z12</f>
        <v>3</v>
      </c>
      <c r="Y12" s="30">
        <f>S10+U12+U15</f>
        <v>1</v>
      </c>
      <c r="Z12" s="30">
        <f>T10+T12+T15</f>
        <v>0</v>
      </c>
      <c r="AA12" s="30">
        <f>U10+S12+S15</f>
        <v>2</v>
      </c>
      <c r="AB12" s="32">
        <f>D10+F12+F15</f>
        <v>2</v>
      </c>
      <c r="AC12" s="32">
        <f>F10+D12+D15</f>
        <v>3</v>
      </c>
      <c r="AD12" s="32">
        <f>AB12-AC12</f>
        <v>-1</v>
      </c>
      <c r="AE12" s="31">
        <f>X12*100+(20+AD12)+AB12/100</f>
        <v>319.02</v>
      </c>
      <c r="AF12" s="49">
        <f>LARGE($AE$12:$AE$15,1)</f>
        <v>722.04</v>
      </c>
    </row>
    <row r="13" spans="1:32" ht="12.75">
      <c r="A13" s="1"/>
      <c r="B13" s="1" t="s">
        <v>68</v>
      </c>
      <c r="C13" s="1" t="s">
        <v>120</v>
      </c>
      <c r="D13" s="27">
        <v>2</v>
      </c>
      <c r="E13" s="6" t="s">
        <v>8</v>
      </c>
      <c r="F13" s="27">
        <v>1</v>
      </c>
      <c r="G13" s="1"/>
      <c r="H13" s="1"/>
      <c r="I13" s="11" t="str">
        <f>IF($AE12=$AF$13,V12,IF($AE13=$AF$13,V13,IF($AE14=$AF$13,V14,V15)))</f>
        <v>Italia</v>
      </c>
      <c r="J13" s="12">
        <f aca="true" t="shared" si="11" ref="J13:Q13">IF($AE12=$AF$13,W12,IF($AE13=$AF$13,W13,IF($AE14=$AF$13,W14,W15)))</f>
        <v>3</v>
      </c>
      <c r="K13" s="12">
        <f t="shared" si="11"/>
        <v>4</v>
      </c>
      <c r="L13" s="12">
        <f t="shared" si="11"/>
        <v>1</v>
      </c>
      <c r="M13" s="12">
        <f t="shared" si="11"/>
        <v>1</v>
      </c>
      <c r="N13" s="12">
        <f t="shared" si="11"/>
        <v>1</v>
      </c>
      <c r="O13" s="12">
        <f t="shared" si="11"/>
        <v>4</v>
      </c>
      <c r="P13" s="12">
        <f t="shared" si="11"/>
        <v>3</v>
      </c>
      <c r="Q13" s="12">
        <f t="shared" si="11"/>
        <v>1</v>
      </c>
      <c r="R13" s="6"/>
      <c r="S13" s="30">
        <f t="shared" si="7"/>
        <v>1</v>
      </c>
      <c r="T13" s="30">
        <f t="shared" si="8"/>
        <v>0</v>
      </c>
      <c r="U13" s="30">
        <f t="shared" si="9"/>
        <v>0</v>
      </c>
      <c r="V13" s="51" t="s">
        <v>121</v>
      </c>
      <c r="W13" s="30">
        <f>Y13+Z13+AA13</f>
        <v>3</v>
      </c>
      <c r="X13" s="30">
        <f>Y13*3+Z13</f>
        <v>4</v>
      </c>
      <c r="Y13" s="30">
        <f>S11+S12+U14</f>
        <v>1</v>
      </c>
      <c r="Z13" s="30">
        <f>T11+T12+T14</f>
        <v>1</v>
      </c>
      <c r="AA13" s="30">
        <f>U11+U12+S14</f>
        <v>1</v>
      </c>
      <c r="AB13" s="32">
        <f>D11+D12+F14</f>
        <v>4</v>
      </c>
      <c r="AC13" s="32">
        <f>F11+F12+D14</f>
        <v>3</v>
      </c>
      <c r="AD13" s="32">
        <f>AB13-AC13</f>
        <v>1</v>
      </c>
      <c r="AE13" s="31">
        <f>X13*100+(20+AD13)+AB13/100</f>
        <v>421.04</v>
      </c>
      <c r="AF13" s="49">
        <f>LARGE($AE$12:$AE$15,2)</f>
        <v>421.04</v>
      </c>
    </row>
    <row r="14" spans="1:32" ht="12.75">
      <c r="A14" s="1"/>
      <c r="B14" s="1" t="s">
        <v>59</v>
      </c>
      <c r="C14" s="1" t="s">
        <v>122</v>
      </c>
      <c r="D14" s="27">
        <v>1</v>
      </c>
      <c r="E14" s="6" t="s">
        <v>8</v>
      </c>
      <c r="F14" s="27">
        <v>1</v>
      </c>
      <c r="G14" s="1"/>
      <c r="H14" s="1"/>
      <c r="I14" s="28" t="str">
        <f>IF($AE12=$AF$14,V12,IF($AE13=$AF$14,V13,IF($AE14=$AF$14,V14,V15)))</f>
        <v>Kroatia</v>
      </c>
      <c r="J14" s="29">
        <f aca="true" t="shared" si="12" ref="J14:Q14">IF($AE12=$AF$14,W12,IF($AE13=$AF$14,W13,IF($AE14=$AF$14,W14,W15)))</f>
        <v>3</v>
      </c>
      <c r="K14" s="29">
        <f t="shared" si="12"/>
        <v>3</v>
      </c>
      <c r="L14" s="29">
        <f t="shared" si="12"/>
        <v>1</v>
      </c>
      <c r="M14" s="29">
        <f t="shared" si="12"/>
        <v>0</v>
      </c>
      <c r="N14" s="29">
        <f t="shared" si="12"/>
        <v>2</v>
      </c>
      <c r="O14" s="29">
        <f t="shared" si="12"/>
        <v>2</v>
      </c>
      <c r="P14" s="29">
        <f t="shared" si="12"/>
        <v>3</v>
      </c>
      <c r="Q14" s="29">
        <f t="shared" si="12"/>
        <v>-1</v>
      </c>
      <c r="R14" s="6"/>
      <c r="S14" s="30">
        <f t="shared" si="7"/>
        <v>0</v>
      </c>
      <c r="T14" s="30">
        <f t="shared" si="8"/>
        <v>1</v>
      </c>
      <c r="U14" s="30">
        <f t="shared" si="9"/>
        <v>0</v>
      </c>
      <c r="V14" s="51" t="s">
        <v>123</v>
      </c>
      <c r="W14" s="30">
        <f>Y14+Z14+AA14</f>
        <v>3</v>
      </c>
      <c r="X14" s="30">
        <f>Y14*3+Z14</f>
        <v>7</v>
      </c>
      <c r="Y14" s="30">
        <f>U10+S13+S14</f>
        <v>2</v>
      </c>
      <c r="Z14" s="30">
        <f>T10+T13+T14</f>
        <v>1</v>
      </c>
      <c r="AA14" s="30">
        <f>S10+U13+U14</f>
        <v>0</v>
      </c>
      <c r="AB14" s="32">
        <f>F10+D13+D14</f>
        <v>4</v>
      </c>
      <c r="AC14" s="32">
        <f>D10+F13+F14</f>
        <v>2</v>
      </c>
      <c r="AD14" s="32">
        <f>AB14-AC14</f>
        <v>2</v>
      </c>
      <c r="AE14" s="31">
        <f>X14*100+(20+AD14)+AB14/100</f>
        <v>722.04</v>
      </c>
      <c r="AF14" s="49">
        <f>LARGE($AE$12:$AE$15,3)</f>
        <v>319.02</v>
      </c>
    </row>
    <row r="15" spans="1:32" ht="12.75">
      <c r="A15" s="1"/>
      <c r="B15" s="1" t="s">
        <v>59</v>
      </c>
      <c r="C15" s="1" t="s">
        <v>124</v>
      </c>
      <c r="D15" s="27">
        <v>1</v>
      </c>
      <c r="E15" s="6" t="s">
        <v>8</v>
      </c>
      <c r="F15" s="27">
        <v>0</v>
      </c>
      <c r="G15" s="1"/>
      <c r="H15" s="1"/>
      <c r="I15" s="28" t="str">
        <f>IF($AE12=$AF$15,V12,IF($AE13=$AF$15,V13,IF($AE14=$AF$15,V14,V15)))</f>
        <v>Ecuador</v>
      </c>
      <c r="J15" s="29">
        <f aca="true" t="shared" si="13" ref="J15:Q15">IF($AE12=$AF$15,W12,IF($AE13=$AF$15,W13,IF($AE14=$AF$15,W14,W15)))</f>
        <v>3</v>
      </c>
      <c r="K15" s="29">
        <f t="shared" si="13"/>
        <v>3</v>
      </c>
      <c r="L15" s="29">
        <f t="shared" si="13"/>
        <v>1</v>
      </c>
      <c r="M15" s="29">
        <f t="shared" si="13"/>
        <v>0</v>
      </c>
      <c r="N15" s="29">
        <f t="shared" si="13"/>
        <v>2</v>
      </c>
      <c r="O15" s="29">
        <f t="shared" si="13"/>
        <v>2</v>
      </c>
      <c r="P15" s="29">
        <f t="shared" si="13"/>
        <v>4</v>
      </c>
      <c r="Q15" s="29">
        <f t="shared" si="13"/>
        <v>-2</v>
      </c>
      <c r="R15" s="6"/>
      <c r="S15" s="30">
        <f t="shared" si="7"/>
        <v>1</v>
      </c>
      <c r="T15" s="30">
        <f t="shared" si="8"/>
        <v>0</v>
      </c>
      <c r="U15" s="30">
        <f t="shared" si="9"/>
        <v>0</v>
      </c>
      <c r="V15" s="51" t="s">
        <v>125</v>
      </c>
      <c r="W15" s="30">
        <f>Y15+Z15+AA15</f>
        <v>3</v>
      </c>
      <c r="X15" s="30">
        <f>Y15*3+Z15</f>
        <v>3</v>
      </c>
      <c r="Y15" s="30">
        <f>U11+U13+S15</f>
        <v>1</v>
      </c>
      <c r="Z15" s="30">
        <f>T11+T13+T15</f>
        <v>0</v>
      </c>
      <c r="AA15" s="30">
        <f>S11+S13+U15</f>
        <v>2</v>
      </c>
      <c r="AB15" s="32">
        <f>F11+F13+D15</f>
        <v>2</v>
      </c>
      <c r="AC15" s="32">
        <f>D11+D13+F15</f>
        <v>4</v>
      </c>
      <c r="AD15" s="32">
        <f>AB15-AC15</f>
        <v>-2</v>
      </c>
      <c r="AE15" s="31">
        <f>X15*100+(20+AD15)+AB15/100</f>
        <v>318.02</v>
      </c>
      <c r="AF15" s="49">
        <f>LARGE($AE$12:$AE$15,4)</f>
        <v>318.02</v>
      </c>
    </row>
    <row r="16" spans="1:32" ht="16.5" customHeight="1">
      <c r="A16" s="1"/>
      <c r="B16" s="1"/>
      <c r="C16" s="1"/>
      <c r="D16" s="6"/>
      <c r="E16" s="6"/>
      <c r="F16" s="6"/>
      <c r="G16" s="1"/>
      <c r="H16" s="1"/>
      <c r="I16" s="19" t="str">
        <f>IF(SUM(J12:J15)=12,"Ferdig","Ikke ferdig")</f>
        <v>Ferdig</v>
      </c>
      <c r="J16" s="1"/>
      <c r="K16" s="1"/>
      <c r="L16" s="1"/>
      <c r="M16" s="1"/>
      <c r="N16" s="1"/>
      <c r="O16" s="1"/>
      <c r="P16" s="1"/>
      <c r="Q16" s="1"/>
      <c r="R16" s="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0"/>
    </row>
    <row r="17" spans="1:20" ht="4.5" customHeight="1">
      <c r="A17" s="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"/>
      <c r="S17"/>
      <c r="T17"/>
    </row>
    <row r="18" spans="1:20" ht="5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/>
      <c r="T18"/>
    </row>
    <row r="19" spans="1:20" ht="12.75">
      <c r="A19" s="1"/>
      <c r="B19" s="2" t="s">
        <v>0</v>
      </c>
      <c r="C19" s="2" t="s">
        <v>45</v>
      </c>
      <c r="D19" s="6"/>
      <c r="E19" s="6"/>
      <c r="F19" s="6"/>
      <c r="G19" s="1"/>
      <c r="H19" s="1"/>
      <c r="I19" s="1"/>
      <c r="J19" s="6"/>
      <c r="K19" s="1"/>
      <c r="L19" s="1"/>
      <c r="M19" s="1"/>
      <c r="N19" s="1"/>
      <c r="O19" s="1"/>
      <c r="P19" s="1"/>
      <c r="Q19" s="1"/>
      <c r="R19" s="6"/>
      <c r="T19"/>
    </row>
    <row r="20" spans="1:20" ht="12.75">
      <c r="A20" s="1"/>
      <c r="B20" s="1" t="s">
        <v>80</v>
      </c>
      <c r="C20" s="1" t="str">
        <f>Ener_G&amp;"-"&amp;Toer_D</f>
        <v>Mexico-USA</v>
      </c>
      <c r="D20" s="6"/>
      <c r="E20" s="6"/>
      <c r="F20" s="6"/>
      <c r="G20" s="1"/>
      <c r="H20" s="1"/>
      <c r="I20" s="1"/>
      <c r="J20" s="6"/>
      <c r="K20" s="1"/>
      <c r="L20" s="1"/>
      <c r="M20" s="1"/>
      <c r="N20" s="1"/>
      <c r="O20" s="1"/>
      <c r="P20" s="1"/>
      <c r="Q20" s="1"/>
      <c r="R20" s="6"/>
      <c r="T20"/>
    </row>
    <row r="21" spans="1:19" ht="12.75">
      <c r="A21" s="1"/>
      <c r="B21" s="1" t="s">
        <v>81</v>
      </c>
      <c r="C21" s="1" t="str">
        <f>Ener_D&amp;"-"&amp;Toer_G</f>
        <v>Sør Korea-Italia</v>
      </c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/>
    </row>
    <row r="23" spans="1:18" ht="12.75">
      <c r="A23" s="1"/>
      <c r="B23" s="1"/>
      <c r="C23" s="1"/>
      <c r="D23" s="18"/>
      <c r="E23" s="18"/>
      <c r="F23" s="18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6"/>
    </row>
    <row r="24" spans="1:18" ht="12.75">
      <c r="A24" s="1"/>
      <c r="B24" s="1"/>
      <c r="C24" s="1"/>
      <c r="D24" s="6"/>
      <c r="E24" s="6"/>
      <c r="F24" s="1"/>
      <c r="G24" s="1"/>
      <c r="H24" s="1"/>
      <c r="I24" s="1"/>
      <c r="J24" s="6"/>
      <c r="K24" s="1"/>
      <c r="L24" s="1"/>
      <c r="M24" s="1"/>
      <c r="N24" s="1"/>
      <c r="O24" s="1"/>
      <c r="P24" s="1"/>
      <c r="Q24" s="1"/>
      <c r="R24" s="6"/>
    </row>
    <row r="25" spans="1:18" ht="12.75">
      <c r="A25" s="1"/>
      <c r="B25" s="1"/>
      <c r="C25" s="1"/>
      <c r="D25" s="6"/>
      <c r="E25" s="6"/>
      <c r="F25" s="1"/>
      <c r="G25" s="1"/>
      <c r="H25" s="1"/>
      <c r="I25" s="1"/>
      <c r="J25" s="6"/>
      <c r="K25" s="1"/>
      <c r="L25" s="1"/>
      <c r="M25" s="1"/>
      <c r="N25" s="1"/>
      <c r="O25" s="1"/>
      <c r="P25" s="1"/>
      <c r="Q25" s="1"/>
      <c r="R25" s="6"/>
    </row>
    <row r="26" spans="1:18" ht="12.75">
      <c r="A26" s="1"/>
      <c r="B26" s="1"/>
      <c r="C26" s="1"/>
      <c r="D26" s="6"/>
      <c r="E26" s="6"/>
      <c r="F26" s="1"/>
      <c r="G26" s="1"/>
      <c r="H26" s="1"/>
      <c r="I26" s="1"/>
      <c r="J26" s="6"/>
      <c r="K26" s="1"/>
      <c r="L26" s="1"/>
      <c r="M26" s="1"/>
      <c r="N26" s="1"/>
      <c r="O26" s="1"/>
      <c r="P26" s="1"/>
      <c r="Q26" s="1"/>
      <c r="R26" s="6"/>
    </row>
    <row r="27" spans="1:18" ht="12.75">
      <c r="A27" s="1"/>
      <c r="B27" s="1"/>
      <c r="C27" s="1"/>
      <c r="D27" s="6"/>
      <c r="E27" s="6"/>
      <c r="F27" s="1"/>
      <c r="G27" s="1"/>
      <c r="H27" s="1"/>
      <c r="I27" s="1"/>
      <c r="J27" s="6"/>
      <c r="K27" s="1"/>
      <c r="L27" s="1"/>
      <c r="M27" s="1"/>
      <c r="N27" s="1"/>
      <c r="O27" s="1"/>
      <c r="P27" s="1"/>
      <c r="Q27" s="1"/>
      <c r="R27" s="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J16" sqref="J16"/>
    </sheetView>
  </sheetViews>
  <sheetFormatPr defaultColWidth="11.421875" defaultRowHeight="12.75"/>
  <cols>
    <col min="1" max="1" width="6.140625" style="0" customWidth="1"/>
    <col min="2" max="2" width="19.421875" style="0" customWidth="1"/>
    <col min="3" max="3" width="9.421875" style="0" customWidth="1"/>
    <col min="4" max="4" width="1.28515625" style="0" customWidth="1"/>
    <col min="6" max="6" width="3.8515625" style="7" customWidth="1"/>
    <col min="7" max="7" width="4.140625" style="7" customWidth="1"/>
    <col min="8" max="8" width="5.8515625" style="0" customWidth="1"/>
    <col min="9" max="9" width="7.57421875" style="0" customWidth="1"/>
    <col min="11" max="11" width="1.7109375" style="0" customWidth="1"/>
    <col min="12" max="12" width="12.57421875" style="0" customWidth="1"/>
    <col min="13" max="14" width="4.28125" style="0" customWidth="1"/>
  </cols>
  <sheetData>
    <row r="1" spans="1:19" ht="7.5" customHeight="1">
      <c r="A1" s="1"/>
      <c r="B1" s="1"/>
      <c r="C1" s="1"/>
      <c r="D1" s="1"/>
      <c r="E1" s="1"/>
      <c r="F1" s="6"/>
      <c r="G1" s="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2" t="s">
        <v>134</v>
      </c>
      <c r="C2" s="1"/>
      <c r="D2" s="1"/>
      <c r="E2" s="1"/>
      <c r="F2" s="33" t="s">
        <v>2</v>
      </c>
      <c r="G2" s="3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20" t="str">
        <f>"Å1 "</f>
        <v>Å1 </v>
      </c>
      <c r="B3" s="1" t="s">
        <v>126</v>
      </c>
      <c r="C3" s="20" t="str">
        <f>IF(Gr_E="Ferdig",Ener_E,"Vinner E")</f>
        <v>Tyskland</v>
      </c>
      <c r="D3" s="6" t="s">
        <v>8</v>
      </c>
      <c r="E3" s="21" t="str">
        <f>IF(Gr_B="Ferdig",Toer_B,"Toer B")</f>
        <v>Paraguay</v>
      </c>
      <c r="F3" s="24"/>
      <c r="G3" s="2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20" t="str">
        <f>"Å2 "</f>
        <v>Å2 </v>
      </c>
      <c r="B4" s="1" t="s">
        <v>127</v>
      </c>
      <c r="C4" s="20" t="str">
        <f>IF(Gr_A="Ferdig",Ener_A,"Vinner A")</f>
        <v>Danmark</v>
      </c>
      <c r="D4" s="6" t="s">
        <v>8</v>
      </c>
      <c r="E4" s="21" t="str">
        <f>IF(Gr_F="Ferdig",Toer_F,"Toer i F")</f>
        <v>England</v>
      </c>
      <c r="F4" s="24"/>
      <c r="G4" s="2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20" t="str">
        <f>"Å3 "</f>
        <v>Å3 </v>
      </c>
      <c r="B5" s="1" t="s">
        <v>128</v>
      </c>
      <c r="C5" s="20" t="str">
        <f>IF(Gr_F="Ferdig",Ener_F,"Vinner F")</f>
        <v>Sverige</v>
      </c>
      <c r="D5" s="6" t="s">
        <v>8</v>
      </c>
      <c r="E5" s="21" t="str">
        <f>IF(Gr_A="Ferdig",Toer_A,"Toer i A")</f>
        <v>Senegal</v>
      </c>
      <c r="F5" s="24"/>
      <c r="G5" s="2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20" t="str">
        <f>"Å4 "</f>
        <v>Å4 </v>
      </c>
      <c r="B6" s="1" t="s">
        <v>129</v>
      </c>
      <c r="C6" s="20" t="str">
        <f>IF(Gr_B="Ferdig",Ener_B,"Vinner B")</f>
        <v>Spania</v>
      </c>
      <c r="D6" s="6" t="s">
        <v>8</v>
      </c>
      <c r="E6" s="21" t="str">
        <f>IF(Gr_E="Ferdig",Toer_E,"Toer i E")</f>
        <v>Irland</v>
      </c>
      <c r="F6" s="24"/>
      <c r="G6" s="2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20" t="str">
        <f>"Å5 "</f>
        <v>Å5 </v>
      </c>
      <c r="B7" s="1" t="s">
        <v>130</v>
      </c>
      <c r="C7" s="20" t="str">
        <f>IF(Gr_G="Ferdig",Ener_G,"Vinner G")</f>
        <v>Mexico</v>
      </c>
      <c r="D7" s="6" t="s">
        <v>8</v>
      </c>
      <c r="E7" s="21" t="str">
        <f>IF(Gr_D="Ferdig",Toer_D,"Toer i D")</f>
        <v>Toer i D</v>
      </c>
      <c r="F7" s="24"/>
      <c r="G7" s="2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20" t="str">
        <f>"Å6 "</f>
        <v>Å6 </v>
      </c>
      <c r="B8" s="1" t="s">
        <v>131</v>
      </c>
      <c r="C8" s="20" t="str">
        <f>IF(Gr_C="Ferdig",Ener_C,"Vinner C")</f>
        <v>Brasil</v>
      </c>
      <c r="D8" s="6" t="s">
        <v>8</v>
      </c>
      <c r="E8" s="21" t="str">
        <f>IF(Gr_H="Ferdig",Toer_H,"Toer i H")</f>
        <v>Toer i H</v>
      </c>
      <c r="F8" s="24"/>
      <c r="G8" s="2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20" t="str">
        <f>"Å7 "</f>
        <v>Å7 </v>
      </c>
      <c r="B9" s="1" t="s">
        <v>132</v>
      </c>
      <c r="C9" s="20" t="str">
        <f>IF(Gr_H="Ferdig",Ener_H,"Vinner H")</f>
        <v>Vinner H</v>
      </c>
      <c r="D9" s="6" t="s">
        <v>8</v>
      </c>
      <c r="E9" s="21" t="str">
        <f>IF(Gr_C="Ferdig",Toer_C,"Toer i C")</f>
        <v>Tyrkia</v>
      </c>
      <c r="F9" s="24"/>
      <c r="G9" s="2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20" t="str">
        <f>"Å8 "</f>
        <v>Å8 </v>
      </c>
      <c r="B10" s="1" t="s">
        <v>133</v>
      </c>
      <c r="C10" s="20" t="str">
        <f>IF(Gr_D="Ferdig",Ener_D,"Vinner D")</f>
        <v>Vinner D</v>
      </c>
      <c r="D10" s="6" t="s">
        <v>8</v>
      </c>
      <c r="E10" s="21" t="str">
        <f>IF(Gr_G="Ferdig",Toer_G,"Toer i G")</f>
        <v>Italia</v>
      </c>
      <c r="F10" s="24"/>
      <c r="G10" s="2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" customHeight="1">
      <c r="A11" s="6"/>
      <c r="B11" s="1"/>
      <c r="C11" s="1"/>
      <c r="D11" s="1"/>
      <c r="E11" s="1"/>
      <c r="F11" s="6"/>
      <c r="G11" s="6"/>
      <c r="H11" s="1"/>
      <c r="I11" s="1"/>
      <c r="J11" s="22" t="s">
        <v>145</v>
      </c>
      <c r="K11" s="1"/>
      <c r="L11" s="1"/>
      <c r="M11" s="1"/>
      <c r="N11" s="1"/>
      <c r="O11" s="1"/>
      <c r="P11" s="1"/>
      <c r="Q11" s="1"/>
      <c r="R11" s="1"/>
      <c r="S11" s="1"/>
    </row>
    <row r="12" spans="1:19" ht="16.5" customHeight="1">
      <c r="A12" s="6"/>
      <c r="B12" s="2" t="s">
        <v>135</v>
      </c>
      <c r="C12" s="1"/>
      <c r="D12" s="1"/>
      <c r="E12" s="1"/>
      <c r="F12" s="6"/>
      <c r="G12" s="6"/>
      <c r="H12" s="1"/>
      <c r="I12" s="20"/>
      <c r="J12" s="20" t="str">
        <f>IF(ISNUMBER(G19),IF(F19&gt;G19,C19,E19),"Vinner S1")</f>
        <v>Vinner S1</v>
      </c>
      <c r="K12" s="6" t="s">
        <v>8</v>
      </c>
      <c r="L12" s="21" t="str">
        <f>IF(ISNUMBER(G20),IF(F20&gt;G20,C20,E20),"Vinner S2")</f>
        <v>Vinner S2</v>
      </c>
      <c r="M12" s="25"/>
      <c r="N12" s="25"/>
      <c r="O12" s="1"/>
      <c r="P12" s="1"/>
      <c r="Q12" s="1"/>
      <c r="R12" s="1"/>
      <c r="S12" s="1"/>
    </row>
    <row r="13" spans="1:19" ht="12.75">
      <c r="A13" s="20" t="str">
        <f>"K1 "</f>
        <v>K1 </v>
      </c>
      <c r="B13" s="1" t="s">
        <v>136</v>
      </c>
      <c r="C13" s="20" t="str">
        <f>IF(ISNUMBER(G4),IF(F4&gt;G4,C4,E4),"Vinner Å2")</f>
        <v>Vinner Å2</v>
      </c>
      <c r="D13" s="1" t="s">
        <v>8</v>
      </c>
      <c r="E13" s="21" t="str">
        <f>IF(ISNUMBER(G8),IF(F8&gt;G8,C8,E8),"Vinner Å6")</f>
        <v>Vinner Å6</v>
      </c>
      <c r="F13" s="24"/>
      <c r="G13" s="24"/>
      <c r="H13" s="1"/>
      <c r="I13" s="18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20" t="str">
        <f>"K2 "</f>
        <v>K2 </v>
      </c>
      <c r="B14" s="1" t="s">
        <v>137</v>
      </c>
      <c r="C14" s="20" t="str">
        <f>IF(ISNUMBER(G3),IF(F3&gt;G3,C3,E3),"Vinner Å1")</f>
        <v>Vinner Å1</v>
      </c>
      <c r="D14" s="1" t="s">
        <v>8</v>
      </c>
      <c r="E14" s="21" t="str">
        <f>IF(ISNUMBER(G7),IF(F7&gt;G7,C7,E7),"Vinner Å5")</f>
        <v>Vinner Å5</v>
      </c>
      <c r="F14" s="24"/>
      <c r="G14" s="24"/>
      <c r="H14" s="1"/>
      <c r="I14" s="18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20" t="str">
        <f>"K3 "</f>
        <v>K3 </v>
      </c>
      <c r="B15" s="1" t="s">
        <v>138</v>
      </c>
      <c r="C15" s="20" t="str">
        <f>IF(ISNUMBER(G6),IF(F6&gt;G6,C6,E6),"Vinner Å4")</f>
        <v>Vinner Å4</v>
      </c>
      <c r="D15" s="1" t="s">
        <v>8</v>
      </c>
      <c r="E15" s="21" t="str">
        <f>IF(ISNUMBER(G10),IF(F10&gt;G10,C10,E10),"Vinner Å8")</f>
        <v>Vinner Å8</v>
      </c>
      <c r="F15" s="24"/>
      <c r="G15" s="24"/>
      <c r="H15" s="1"/>
      <c r="I15" s="18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20" t="str">
        <f>"K4 "</f>
        <v>K4 </v>
      </c>
      <c r="B16" s="1" t="s">
        <v>139</v>
      </c>
      <c r="C16" s="20" t="str">
        <f>IF(ISNUMBER(G5),IF(F5&gt;G5,C5,E5),"Vinner Å3")</f>
        <v>Vinner Å3</v>
      </c>
      <c r="D16" s="1" t="s">
        <v>8</v>
      </c>
      <c r="E16" s="21" t="str">
        <f>IF(ISNUMBER(G9),IF(F9&gt;G9,C9,E9),"Vinner Å7")</f>
        <v>Vinner Å7</v>
      </c>
      <c r="F16" s="24"/>
      <c r="G16" s="24"/>
      <c r="H16" s="1"/>
      <c r="I16" s="18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20"/>
      <c r="B17" s="1"/>
      <c r="C17" s="1"/>
      <c r="D17" s="1"/>
      <c r="E17" s="1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20"/>
      <c r="B18" s="2" t="s">
        <v>140</v>
      </c>
      <c r="C18" s="1"/>
      <c r="D18" s="1"/>
      <c r="E18" s="1"/>
      <c r="F18" s="6"/>
      <c r="G18" s="6"/>
      <c r="H18" s="1"/>
      <c r="I18" s="23" t="s">
        <v>149</v>
      </c>
      <c r="J18" s="16"/>
      <c r="K18" s="16"/>
      <c r="L18" s="16"/>
      <c r="M18" s="1"/>
      <c r="N18" s="1"/>
      <c r="O18" s="1"/>
      <c r="P18" s="1"/>
      <c r="Q18" s="1"/>
      <c r="R18" s="1"/>
      <c r="S18" s="1"/>
    </row>
    <row r="19" spans="1:19" ht="12.75">
      <c r="A19" s="20" t="str">
        <f>"S1 "</f>
        <v>S1 </v>
      </c>
      <c r="B19" s="1" t="s">
        <v>141</v>
      </c>
      <c r="C19" s="20" t="str">
        <f>IF(ISNUMBER(G14),IF(F14&gt;G14,C14,E14),"Vinner K2")</f>
        <v>Vinner K2</v>
      </c>
      <c r="D19" s="1" t="s">
        <v>8</v>
      </c>
      <c r="E19" s="21" t="str">
        <f>IF(ISNUMBER(G15),IF(F15&gt;G15,C15,E15),"Vinner K3")</f>
        <v>Vinner K3</v>
      </c>
      <c r="F19" s="24"/>
      <c r="G19" s="24"/>
      <c r="H19" s="1"/>
      <c r="I19" s="23" t="s">
        <v>146</v>
      </c>
      <c r="J19" s="16" t="str">
        <f>IF(ISNUMBER(N12),IF(M12&gt;N12,J12,L12),"Vinner av Finalen")</f>
        <v>Vinner av Finalen</v>
      </c>
      <c r="K19" s="16"/>
      <c r="L19" s="16"/>
      <c r="M19" s="1"/>
      <c r="N19" s="1"/>
      <c r="O19" s="1"/>
      <c r="P19" s="1"/>
      <c r="Q19" s="1"/>
      <c r="R19" s="1"/>
      <c r="S19" s="1"/>
    </row>
    <row r="20" spans="1:19" ht="12.75">
      <c r="A20" s="20" t="str">
        <f>"S2 "</f>
        <v>S2 </v>
      </c>
      <c r="B20" s="1" t="s">
        <v>142</v>
      </c>
      <c r="C20" s="20" t="str">
        <f>IF(ISNUMBER(G13),IF(F13&gt;G13,C13,E13),"Vinner K1")</f>
        <v>Vinner K1</v>
      </c>
      <c r="D20" s="1" t="s">
        <v>8</v>
      </c>
      <c r="E20" s="21" t="str">
        <f>IF(ISNUMBER(G16),IF(F16&gt;G16,C16,E16),"Vinner K4")</f>
        <v>Vinner K4</v>
      </c>
      <c r="F20" s="24"/>
      <c r="G20" s="24"/>
      <c r="H20" s="1"/>
      <c r="I20" s="23" t="s">
        <v>147</v>
      </c>
      <c r="J20" s="16" t="str">
        <f>IF(ISNUMBER(N12),IF(M12&gt;N12,L12,J12),"Taper av finalen")</f>
        <v>Taper av finalen</v>
      </c>
      <c r="K20" s="16"/>
      <c r="L20" s="16"/>
      <c r="M20" s="1"/>
      <c r="N20" s="1"/>
      <c r="O20" s="1"/>
      <c r="P20" s="1"/>
      <c r="Q20" s="1"/>
      <c r="R20" s="1"/>
      <c r="S20" s="1"/>
    </row>
    <row r="21" spans="1:19" ht="12.75">
      <c r="A21" s="1"/>
      <c r="B21" s="1"/>
      <c r="C21" s="1"/>
      <c r="D21" s="1"/>
      <c r="E21" s="1"/>
      <c r="F21" s="6"/>
      <c r="G21" s="6"/>
      <c r="H21" s="1"/>
      <c r="I21" s="23" t="s">
        <v>148</v>
      </c>
      <c r="J21" s="16" t="str">
        <f>IF(ISNUMBER(G23),IF(F23&gt;G23,C23,E23),"Vinner av bronsefinalen")</f>
        <v>Vinner av bronsefinalen</v>
      </c>
      <c r="K21" s="16"/>
      <c r="L21" s="16"/>
      <c r="M21" s="1"/>
      <c r="N21" s="1"/>
      <c r="O21" s="1"/>
      <c r="P21" s="1"/>
      <c r="Q21" s="1"/>
      <c r="R21" s="1"/>
      <c r="S21" s="1"/>
    </row>
    <row r="22" spans="1:19" ht="12.75">
      <c r="A22" s="1"/>
      <c r="B22" s="2" t="s">
        <v>143</v>
      </c>
      <c r="C22" s="1"/>
      <c r="D22" s="1"/>
      <c r="E22" s="1"/>
      <c r="F22" s="6"/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0"/>
      <c r="B23" s="1" t="s">
        <v>144</v>
      </c>
      <c r="C23" s="20" t="str">
        <f>IF(ISNUMBER(G19),IF(F19&gt;G19,E19,C19),"Taper S1")</f>
        <v>Taper S1</v>
      </c>
      <c r="D23" s="1" t="s">
        <v>8</v>
      </c>
      <c r="E23" s="1" t="str">
        <f>IF(ISNUMBER(G20),IF(F20&gt;G20,E20,C20),"Taper S2")</f>
        <v>Taper S2</v>
      </c>
      <c r="F23" s="24"/>
      <c r="G23" s="2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1"/>
      <c r="C24" s="1"/>
      <c r="D24" s="1"/>
      <c r="E24" s="1"/>
      <c r="F24" s="6"/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6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6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6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6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6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6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6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</sheetData>
  <sheetProtection sheet="1" objects="1" scenarios="1"/>
  <mergeCells count="1">
    <mergeCell ref="F2:G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INKA 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Inger Holme</dc:creator>
  <cp:keywords/>
  <dc:description/>
  <cp:lastModifiedBy>Elevmaskin</cp:lastModifiedBy>
  <dcterms:created xsi:type="dcterms:W3CDTF">1980-06-12T14:10:47Z</dcterms:created>
  <dcterms:modified xsi:type="dcterms:W3CDTF">2002-06-14T11:38:42Z</dcterms:modified>
  <cp:category/>
  <cp:version/>
  <cp:contentType/>
  <cp:contentStatus/>
</cp:coreProperties>
</file>